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Pamel\Desktop\COLLEGE 2025\ENTEP\"/>
    </mc:Choice>
  </mc:AlternateContent>
  <xr:revisionPtr revIDLastSave="0" documentId="8_{E72A17C8-4BE7-430C-BD3F-9E8AAAC35BA7}" xr6:coauthVersionLast="47" xr6:coauthVersionMax="47" xr10:uidLastSave="{00000000-0000-0000-0000-000000000000}"/>
  <bookViews>
    <workbookView xWindow="28680" yWindow="-120" windowWidth="29040" windowHeight="15720" xr2:uid="{B44B3249-ADCF-CB44-8C1E-181EBA6D7EDD}"/>
  </bookViews>
  <sheets>
    <sheet name="Start Up Costs " sheetId="10" r:id="rId1"/>
    <sheet name="Income Statement Year 1 " sheetId="1" r:id="rId2"/>
    <sheet name="Income Statement Year 2 " sheetId="2" r:id="rId3"/>
    <sheet name="Income Statement Year 3" sheetId="3" r:id="rId4"/>
    <sheet name="Cash Flow Year 1 " sheetId="4" r:id="rId5"/>
    <sheet name="Cash Flow Year 2" sheetId="5" r:id="rId6"/>
    <sheet name="Cash Flow Year 3" sheetId="6" r:id="rId7"/>
    <sheet name="Balance Sheet Year 1 " sheetId="7" r:id="rId8"/>
    <sheet name="Balance Sheet Year 2 " sheetId="8" r:id="rId9"/>
    <sheet name="Balance Sheet Year 3" sheetId="9" r:id="rId10"/>
    <sheet name="sales details" sheetId="12" state="hidden" r:id="rId1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3" l="1"/>
  <c r="L19" i="7"/>
  <c r="D21" i="8"/>
  <c r="C21" i="8"/>
  <c r="C19" i="7"/>
  <c r="C31" i="6"/>
  <c r="D31" i="6"/>
  <c r="E31" i="6"/>
  <c r="F31" i="6"/>
  <c r="G31" i="6"/>
  <c r="H31" i="6"/>
  <c r="I31" i="6"/>
  <c r="J31" i="6"/>
  <c r="K31" i="6"/>
  <c r="L31" i="6"/>
  <c r="B31" i="6"/>
  <c r="C28" i="6"/>
  <c r="D28" i="6"/>
  <c r="E28" i="6"/>
  <c r="F28" i="6"/>
  <c r="G28" i="6"/>
  <c r="H28" i="6"/>
  <c r="I28" i="6"/>
  <c r="J28" i="6"/>
  <c r="K28" i="6"/>
  <c r="L28" i="6"/>
  <c r="C27" i="6"/>
  <c r="D27" i="6"/>
  <c r="E27" i="6"/>
  <c r="F27" i="6"/>
  <c r="G27" i="6"/>
  <c r="H27" i="6"/>
  <c r="I27" i="6"/>
  <c r="J27" i="6"/>
  <c r="K27" i="6"/>
  <c r="L27" i="6"/>
  <c r="B28" i="6"/>
  <c r="B27" i="6"/>
  <c r="A31" i="6"/>
  <c r="L30" i="5"/>
  <c r="K30" i="5"/>
  <c r="J30" i="5"/>
  <c r="I30" i="5"/>
  <c r="H30" i="5"/>
  <c r="G30" i="5"/>
  <c r="F30" i="5"/>
  <c r="E30" i="5"/>
  <c r="D30" i="5"/>
  <c r="C30" i="5"/>
  <c r="L27" i="5"/>
  <c r="K27" i="5"/>
  <c r="J27" i="5"/>
  <c r="I27" i="5"/>
  <c r="H27" i="5"/>
  <c r="G27" i="5"/>
  <c r="F27" i="5"/>
  <c r="E27" i="5"/>
  <c r="D27" i="5"/>
  <c r="C27" i="5"/>
  <c r="L26" i="5"/>
  <c r="K26" i="5"/>
  <c r="J26" i="5"/>
  <c r="I26" i="5"/>
  <c r="H26" i="5"/>
  <c r="G26" i="5"/>
  <c r="F26" i="5"/>
  <c r="E26" i="5"/>
  <c r="D26" i="5"/>
  <c r="C26" i="5"/>
  <c r="B30" i="5"/>
  <c r="A30" i="5"/>
  <c r="B27" i="5"/>
  <c r="B26" i="5"/>
  <c r="M28" i="4"/>
  <c r="M25" i="4"/>
  <c r="M26" i="4"/>
  <c r="N22" i="3"/>
  <c r="N26" i="2"/>
  <c r="N25" i="2"/>
  <c r="D14" i="1"/>
  <c r="D13" i="1"/>
  <c r="D12" i="1"/>
  <c r="F12" i="1"/>
  <c r="N26" i="1"/>
  <c r="B23" i="9"/>
  <c r="F3" i="12"/>
  <c r="B21" i="8"/>
  <c r="C24" i="9" s="1"/>
  <c r="E24" i="9" s="1"/>
  <c r="M12" i="3"/>
  <c r="M11" i="3"/>
  <c r="M10" i="3"/>
  <c r="L12" i="3"/>
  <c r="L11" i="3"/>
  <c r="L10" i="3"/>
  <c r="L12" i="6" s="1"/>
  <c r="K12" i="3"/>
  <c r="K11" i="3"/>
  <c r="K10" i="3"/>
  <c r="K12" i="6" s="1"/>
  <c r="J12" i="3"/>
  <c r="J11" i="3"/>
  <c r="J10" i="3"/>
  <c r="I12" i="3"/>
  <c r="I11" i="3"/>
  <c r="I10" i="3"/>
  <c r="H12" i="3"/>
  <c r="H11" i="3"/>
  <c r="H10" i="3"/>
  <c r="G12" i="3"/>
  <c r="G11" i="3"/>
  <c r="G10" i="3"/>
  <c r="F12" i="3"/>
  <c r="F11" i="3"/>
  <c r="F10" i="3"/>
  <c r="E12" i="3"/>
  <c r="E11" i="3"/>
  <c r="E10" i="3"/>
  <c r="E12" i="6" s="1"/>
  <c r="D12" i="3"/>
  <c r="D11" i="3"/>
  <c r="D10" i="3"/>
  <c r="D12" i="6" s="1"/>
  <c r="C12" i="3"/>
  <c r="C11" i="3"/>
  <c r="C10" i="3"/>
  <c r="C12" i="6" s="1"/>
  <c r="B12" i="3"/>
  <c r="B11" i="3"/>
  <c r="K13" i="2"/>
  <c r="K12" i="2"/>
  <c r="K11" i="2"/>
  <c r="M13" i="2"/>
  <c r="M11" i="5" s="1"/>
  <c r="M12" i="2"/>
  <c r="M11" i="2"/>
  <c r="L13" i="2"/>
  <c r="L11" i="5" s="1"/>
  <c r="L12" i="2"/>
  <c r="L11" i="2"/>
  <c r="J13" i="2"/>
  <c r="J11" i="5" s="1"/>
  <c r="J12" i="2"/>
  <c r="J11" i="2"/>
  <c r="I13" i="2"/>
  <c r="I12" i="2"/>
  <c r="I11" i="2"/>
  <c r="H13" i="2"/>
  <c r="H11" i="5" s="1"/>
  <c r="H12" i="2"/>
  <c r="H11" i="2"/>
  <c r="G13" i="2"/>
  <c r="G12" i="2"/>
  <c r="G11" i="2"/>
  <c r="F13" i="2"/>
  <c r="F11" i="5" s="1"/>
  <c r="F12" i="2"/>
  <c r="F11" i="2"/>
  <c r="E13" i="2"/>
  <c r="E11" i="5" s="1"/>
  <c r="E12" i="2"/>
  <c r="E11" i="2"/>
  <c r="D13" i="2"/>
  <c r="D11" i="5" s="1"/>
  <c r="D12" i="2"/>
  <c r="D11" i="2"/>
  <c r="C13" i="2"/>
  <c r="C11" i="5" s="1"/>
  <c r="C12" i="2"/>
  <c r="C11" i="2"/>
  <c r="B13" i="2"/>
  <c r="B11" i="5" s="1"/>
  <c r="B12" i="2"/>
  <c r="B11" i="2"/>
  <c r="N10" i="2"/>
  <c r="M14" i="1"/>
  <c r="M10" i="4" s="1"/>
  <c r="M13" i="1"/>
  <c r="M12" i="1"/>
  <c r="L14" i="1"/>
  <c r="L10" i="4" s="1"/>
  <c r="L13" i="1"/>
  <c r="L12" i="1"/>
  <c r="K14" i="1"/>
  <c r="K10" i="4" s="1"/>
  <c r="K13" i="1"/>
  <c r="K12" i="1"/>
  <c r="J14" i="1"/>
  <c r="J10" i="4" s="1"/>
  <c r="J13" i="1"/>
  <c r="J12" i="1"/>
  <c r="I14" i="1"/>
  <c r="I10" i="4" s="1"/>
  <c r="I13" i="1"/>
  <c r="I12" i="1"/>
  <c r="H14" i="1"/>
  <c r="H10" i="4" s="1"/>
  <c r="H13" i="1"/>
  <c r="H12" i="1"/>
  <c r="H9" i="4" s="1"/>
  <c r="G14" i="1"/>
  <c r="G13" i="1"/>
  <c r="G12" i="1"/>
  <c r="F14" i="1"/>
  <c r="F13" i="1"/>
  <c r="E14" i="1"/>
  <c r="E10" i="4" s="1"/>
  <c r="E13" i="1"/>
  <c r="E12" i="1"/>
  <c r="E9" i="4" s="1"/>
  <c r="C14" i="1"/>
  <c r="C10" i="4" s="1"/>
  <c r="C13" i="1"/>
  <c r="C12" i="1"/>
  <c r="B14" i="1"/>
  <c r="B10" i="4" s="1"/>
  <c r="B13" i="1"/>
  <c r="B12" i="1"/>
  <c r="A18" i="12"/>
  <c r="A17" i="12"/>
  <c r="H14" i="12"/>
  <c r="G14" i="12"/>
  <c r="F14" i="12"/>
  <c r="H13" i="12"/>
  <c r="G13" i="12"/>
  <c r="F13" i="12"/>
  <c r="H12" i="12"/>
  <c r="G12" i="12"/>
  <c r="F12" i="12"/>
  <c r="H11" i="12"/>
  <c r="G11" i="12"/>
  <c r="F11" i="12"/>
  <c r="H10" i="12"/>
  <c r="G10" i="12"/>
  <c r="F10" i="12"/>
  <c r="H9" i="12"/>
  <c r="G9" i="12"/>
  <c r="F9" i="12"/>
  <c r="H8" i="12"/>
  <c r="G8" i="12"/>
  <c r="F8" i="12"/>
  <c r="H7" i="12"/>
  <c r="G7" i="12"/>
  <c r="F7" i="12"/>
  <c r="H6" i="12"/>
  <c r="G6" i="12"/>
  <c r="F6" i="12"/>
  <c r="H5" i="12"/>
  <c r="G5" i="12"/>
  <c r="F5" i="12"/>
  <c r="H4" i="12"/>
  <c r="G4" i="12"/>
  <c r="F4" i="12"/>
  <c r="F15" i="12" s="1"/>
  <c r="H3" i="12"/>
  <c r="H15" i="12" s="1"/>
  <c r="G3" i="12"/>
  <c r="G15" i="12" s="1"/>
  <c r="B28" i="10"/>
  <c r="B29" i="10" s="1"/>
  <c r="B33" i="10" s="1"/>
  <c r="C23" i="5"/>
  <c r="D23" i="5"/>
  <c r="E23" i="5"/>
  <c r="F23" i="5"/>
  <c r="G23" i="5"/>
  <c r="H23" i="5"/>
  <c r="I23" i="5"/>
  <c r="J23" i="5"/>
  <c r="K23" i="5"/>
  <c r="L23" i="5"/>
  <c r="M23" i="5"/>
  <c r="B23" i="5"/>
  <c r="M24" i="6"/>
  <c r="L24" i="6"/>
  <c r="K24" i="6"/>
  <c r="J24" i="6"/>
  <c r="I24" i="6"/>
  <c r="H24" i="6"/>
  <c r="G24" i="6"/>
  <c r="F24" i="6"/>
  <c r="E24" i="6"/>
  <c r="D24" i="6"/>
  <c r="C24" i="6"/>
  <c r="B24" i="6"/>
  <c r="C22" i="4"/>
  <c r="D22" i="4"/>
  <c r="E22" i="4"/>
  <c r="F22" i="4"/>
  <c r="G22" i="4"/>
  <c r="H22" i="4"/>
  <c r="I22" i="4"/>
  <c r="J22" i="4"/>
  <c r="K22" i="4"/>
  <c r="L22" i="4"/>
  <c r="M22" i="4"/>
  <c r="B22" i="4"/>
  <c r="N17" i="3"/>
  <c r="I10" i="5" l="1"/>
  <c r="B42" i="10"/>
  <c r="B43" i="10" s="1"/>
  <c r="B41" i="10"/>
  <c r="B27" i="1" s="1"/>
  <c r="N27" i="1" s="1"/>
  <c r="C24" i="7"/>
  <c r="C25" i="7" s="1"/>
  <c r="N11" i="2"/>
  <c r="M26" i="5"/>
  <c r="J10" i="5"/>
  <c r="J13" i="5" s="1"/>
  <c r="K10" i="5"/>
  <c r="N13" i="2"/>
  <c r="B10" i="8" s="1"/>
  <c r="M9" i="4"/>
  <c r="C9" i="4"/>
  <c r="C12" i="4" s="1"/>
  <c r="G9" i="4"/>
  <c r="K9" i="4"/>
  <c r="K12" i="4" s="1"/>
  <c r="F9" i="4"/>
  <c r="M27" i="6"/>
  <c r="M27" i="5"/>
  <c r="M30" i="5"/>
  <c r="M28" i="6"/>
  <c r="M31" i="6"/>
  <c r="M12" i="4"/>
  <c r="J19" i="7"/>
  <c r="G11" i="6"/>
  <c r="M11" i="6"/>
  <c r="I11" i="6"/>
  <c r="B10" i="5"/>
  <c r="B13" i="5" s="1"/>
  <c r="M15" i="1"/>
  <c r="B9" i="4"/>
  <c r="F11" i="6"/>
  <c r="F14" i="6" s="1"/>
  <c r="K13" i="3"/>
  <c r="K11" i="6"/>
  <c r="K14" i="6" s="1"/>
  <c r="B11" i="6"/>
  <c r="C11" i="6"/>
  <c r="C14" i="6" s="1"/>
  <c r="M13" i="3"/>
  <c r="I12" i="6"/>
  <c r="I14" i="6" s="1"/>
  <c r="H11" i="6"/>
  <c r="E11" i="6"/>
  <c r="E14" i="6" s="1"/>
  <c r="J13" i="3"/>
  <c r="L11" i="6"/>
  <c r="L14" i="6" s="1"/>
  <c r="D11" i="6"/>
  <c r="D14" i="6" s="1"/>
  <c r="H12" i="6"/>
  <c r="J11" i="6"/>
  <c r="B12" i="6"/>
  <c r="F12" i="6"/>
  <c r="M12" i="6"/>
  <c r="G12" i="6"/>
  <c r="D13" i="3"/>
  <c r="J12" i="6"/>
  <c r="L10" i="5"/>
  <c r="L13" i="5" s="1"/>
  <c r="G10" i="5"/>
  <c r="M10" i="5"/>
  <c r="M13" i="5" s="1"/>
  <c r="E10" i="5"/>
  <c r="E13" i="5" s="1"/>
  <c r="G15" i="1"/>
  <c r="G16" i="1" s="1"/>
  <c r="F10" i="4"/>
  <c r="I9" i="4"/>
  <c r="I12" i="4" s="1"/>
  <c r="L9" i="4"/>
  <c r="L12" i="4" s="1"/>
  <c r="J9" i="4"/>
  <c r="J12" i="4" s="1"/>
  <c r="F15" i="1"/>
  <c r="F16" i="1" s="1"/>
  <c r="G10" i="4"/>
  <c r="D9" i="4"/>
  <c r="I15" i="1"/>
  <c r="I16" i="1" s="1"/>
  <c r="B15" i="1"/>
  <c r="D10" i="4"/>
  <c r="L13" i="3"/>
  <c r="E13" i="3"/>
  <c r="F13" i="3"/>
  <c r="I13" i="3"/>
  <c r="G13" i="3"/>
  <c r="H13" i="3"/>
  <c r="N12" i="3"/>
  <c r="C13" i="3"/>
  <c r="N10" i="3"/>
  <c r="N13" i="3" s="1"/>
  <c r="N11" i="3"/>
  <c r="B13" i="3"/>
  <c r="N12" i="2"/>
  <c r="I14" i="2"/>
  <c r="I11" i="5"/>
  <c r="I13" i="5" s="1"/>
  <c r="G14" i="2"/>
  <c r="J14" i="2"/>
  <c r="L14" i="2"/>
  <c r="C14" i="2"/>
  <c r="F14" i="2"/>
  <c r="K14" i="2"/>
  <c r="K15" i="2" s="1"/>
  <c r="M14" i="2"/>
  <c r="K11" i="5"/>
  <c r="H14" i="2"/>
  <c r="H10" i="5"/>
  <c r="H13" i="5" s="1"/>
  <c r="G11" i="5"/>
  <c r="F10" i="5"/>
  <c r="F13" i="5" s="1"/>
  <c r="E14" i="2"/>
  <c r="D14" i="2"/>
  <c r="D10" i="5"/>
  <c r="D13" i="5" s="1"/>
  <c r="C10" i="5"/>
  <c r="C13" i="5" s="1"/>
  <c r="B14" i="2"/>
  <c r="L15" i="1"/>
  <c r="H15" i="1"/>
  <c r="H16" i="1" s="1"/>
  <c r="N13" i="1"/>
  <c r="N14" i="1"/>
  <c r="C8" i="7" s="1"/>
  <c r="K15" i="1"/>
  <c r="K16" i="1" s="1"/>
  <c r="D15" i="1"/>
  <c r="N12" i="1"/>
  <c r="J15" i="1"/>
  <c r="J16" i="1" s="1"/>
  <c r="E12" i="4"/>
  <c r="E15" i="1"/>
  <c r="C15" i="1"/>
  <c r="G18" i="12"/>
  <c r="G16" i="12"/>
  <c r="G17" i="12"/>
  <c r="H18" i="12"/>
  <c r="H16" i="12"/>
  <c r="H17" i="12"/>
  <c r="F17" i="12"/>
  <c r="F18" i="12"/>
  <c r="F16" i="12"/>
  <c r="H12" i="4"/>
  <c r="M19" i="3"/>
  <c r="E16" i="1" l="1"/>
  <c r="E17" i="4" s="1"/>
  <c r="E19" i="4" s="1"/>
  <c r="B16" i="1"/>
  <c r="B17" i="1" s="1"/>
  <c r="D16" i="1"/>
  <c r="D17" i="4" s="1"/>
  <c r="D19" i="4" s="1"/>
  <c r="M16" i="1"/>
  <c r="M17" i="1" s="1"/>
  <c r="L16" i="1"/>
  <c r="L17" i="4" s="1"/>
  <c r="L19" i="4" s="1"/>
  <c r="C21" i="1"/>
  <c r="C16" i="1"/>
  <c r="N16" i="1" s="1"/>
  <c r="G12" i="4"/>
  <c r="B25" i="8"/>
  <c r="B28" i="9" s="1"/>
  <c r="B29" i="9" s="1"/>
  <c r="L20" i="2"/>
  <c r="L15" i="2"/>
  <c r="B20" i="2"/>
  <c r="B15" i="2"/>
  <c r="H15" i="2"/>
  <c r="H18" i="5" s="1"/>
  <c r="H20" i="5" s="1"/>
  <c r="J20" i="2"/>
  <c r="J15" i="2"/>
  <c r="J16" i="2" s="1"/>
  <c r="J19" i="2" s="1"/>
  <c r="G15" i="2"/>
  <c r="G16" i="2" s="1"/>
  <c r="M15" i="2"/>
  <c r="M18" i="5" s="1"/>
  <c r="M20" i="5" s="1"/>
  <c r="D20" i="2"/>
  <c r="D15" i="2"/>
  <c r="D16" i="2" s="1"/>
  <c r="D19" i="2" s="1"/>
  <c r="I20" i="2"/>
  <c r="I15" i="2"/>
  <c r="I16" i="2" s="1"/>
  <c r="I21" i="2" s="1"/>
  <c r="I25" i="5" s="1"/>
  <c r="I29" i="5" s="1"/>
  <c r="F15" i="2"/>
  <c r="F16" i="2" s="1"/>
  <c r="F21" i="2" s="1"/>
  <c r="F25" i="5" s="1"/>
  <c r="F29" i="5" s="1"/>
  <c r="E15" i="2"/>
  <c r="E18" i="5" s="1"/>
  <c r="E20" i="5" s="1"/>
  <c r="C20" i="2"/>
  <c r="C15" i="2"/>
  <c r="L19" i="3"/>
  <c r="L14" i="3"/>
  <c r="L15" i="3" s="1"/>
  <c r="L18" i="3" s="1"/>
  <c r="C19" i="3"/>
  <c r="C14" i="3"/>
  <c r="C15" i="3" s="1"/>
  <c r="C18" i="3" s="1"/>
  <c r="D19" i="3"/>
  <c r="D14" i="3"/>
  <c r="D15" i="3" s="1"/>
  <c r="D18" i="3" s="1"/>
  <c r="J14" i="3"/>
  <c r="J15" i="3" s="1"/>
  <c r="G19" i="3"/>
  <c r="G14" i="3"/>
  <c r="K19" i="3"/>
  <c r="K14" i="3"/>
  <c r="K15" i="3" s="1"/>
  <c r="H19" i="3"/>
  <c r="H14" i="3"/>
  <c r="H15" i="3" s="1"/>
  <c r="H18" i="3" s="1"/>
  <c r="I19" i="3"/>
  <c r="I14" i="3"/>
  <c r="F19" i="3"/>
  <c r="F14" i="3"/>
  <c r="M14" i="3"/>
  <c r="M15" i="3" s="1"/>
  <c r="B19" i="3"/>
  <c r="B14" i="3"/>
  <c r="B15" i="3" s="1"/>
  <c r="B20" i="3" s="1"/>
  <c r="E19" i="3"/>
  <c r="E14" i="3"/>
  <c r="E15" i="3" s="1"/>
  <c r="G13" i="5"/>
  <c r="L18" i="5"/>
  <c r="L20" i="5" s="1"/>
  <c r="K13" i="5"/>
  <c r="F12" i="4"/>
  <c r="M14" i="6"/>
  <c r="B12" i="9"/>
  <c r="G14" i="6"/>
  <c r="J14" i="6"/>
  <c r="J19" i="3"/>
  <c r="H14" i="6"/>
  <c r="G15" i="3"/>
  <c r="G18" i="3" s="1"/>
  <c r="K20" i="2"/>
  <c r="G20" i="2"/>
  <c r="D12" i="4"/>
  <c r="B14" i="6"/>
  <c r="I15" i="3"/>
  <c r="I20" i="3" s="1"/>
  <c r="F15" i="3"/>
  <c r="F18" i="3" s="1"/>
  <c r="N14" i="2"/>
  <c r="E16" i="2"/>
  <c r="E21" i="2" s="1"/>
  <c r="E25" i="5" s="1"/>
  <c r="E29" i="5" s="1"/>
  <c r="B16" i="2"/>
  <c r="F20" i="2"/>
  <c r="G18" i="5"/>
  <c r="G20" i="5" s="1"/>
  <c r="L17" i="1"/>
  <c r="L22" i="1" s="1"/>
  <c r="N15" i="1"/>
  <c r="E20" i="2"/>
  <c r="M20" i="2"/>
  <c r="M16" i="2"/>
  <c r="M19" i="2" s="1"/>
  <c r="L16" i="2"/>
  <c r="L21" i="2" s="1"/>
  <c r="L25" i="5" s="1"/>
  <c r="L29" i="5" s="1"/>
  <c r="H20" i="2"/>
  <c r="H16" i="2"/>
  <c r="H21" i="2" s="1"/>
  <c r="H25" i="5" s="1"/>
  <c r="H29" i="5" s="1"/>
  <c r="B12" i="4"/>
  <c r="B14" i="4" s="1"/>
  <c r="B32" i="4" s="1"/>
  <c r="E17" i="1"/>
  <c r="E20" i="1" s="1"/>
  <c r="K16" i="2"/>
  <c r="K21" i="2" s="1"/>
  <c r="K25" i="5" s="1"/>
  <c r="K29" i="5" s="1"/>
  <c r="K18" i="5"/>
  <c r="K20" i="5" s="1"/>
  <c r="E19" i="6"/>
  <c r="E21" i="6" s="1"/>
  <c r="I17" i="1"/>
  <c r="I22" i="1" s="1"/>
  <c r="I17" i="4"/>
  <c r="I19" i="4" s="1"/>
  <c r="I19" i="6"/>
  <c r="I21" i="6" s="1"/>
  <c r="F17" i="4"/>
  <c r="F19" i="4" s="1"/>
  <c r="F19" i="6"/>
  <c r="F21" i="6" s="1"/>
  <c r="K17" i="1"/>
  <c r="K20" i="1" s="1"/>
  <c r="K19" i="6"/>
  <c r="K21" i="6" s="1"/>
  <c r="K17" i="4"/>
  <c r="K19" i="4" s="1"/>
  <c r="G17" i="1"/>
  <c r="G22" i="1" s="1"/>
  <c r="G19" i="6"/>
  <c r="G21" i="6" s="1"/>
  <c r="G17" i="4"/>
  <c r="G19" i="4" s="1"/>
  <c r="B19" i="6"/>
  <c r="B21" i="6" s="1"/>
  <c r="B17" i="4"/>
  <c r="H17" i="1"/>
  <c r="H21" i="1" s="1"/>
  <c r="H17" i="4"/>
  <c r="H19" i="4" s="1"/>
  <c r="H19" i="6"/>
  <c r="H21" i="6" s="1"/>
  <c r="J17" i="1"/>
  <c r="J22" i="1" s="1"/>
  <c r="J19" i="6"/>
  <c r="J21" i="6" s="1"/>
  <c r="J17" i="4"/>
  <c r="J19" i="4" s="1"/>
  <c r="I18" i="3"/>
  <c r="F17" i="1"/>
  <c r="M20" i="1"/>
  <c r="M22" i="1"/>
  <c r="M21" i="1"/>
  <c r="K20" i="3" l="1"/>
  <c r="K18" i="3"/>
  <c r="N19" i="3"/>
  <c r="F18" i="5"/>
  <c r="F20" i="5" s="1"/>
  <c r="F32" i="5" s="1"/>
  <c r="F35" i="5" s="1"/>
  <c r="G21" i="2"/>
  <c r="G25" i="5" s="1"/>
  <c r="G29" i="5" s="1"/>
  <c r="G32" i="5" s="1"/>
  <c r="G35" i="5" s="1"/>
  <c r="G19" i="2"/>
  <c r="M19" i="6"/>
  <c r="M21" i="6" s="1"/>
  <c r="B22" i="1"/>
  <c r="B24" i="4" s="1"/>
  <c r="B27" i="4" s="1"/>
  <c r="B39" i="4" s="1"/>
  <c r="B21" i="1"/>
  <c r="B20" i="1"/>
  <c r="L19" i="6"/>
  <c r="L21" i="6" s="1"/>
  <c r="C17" i="1"/>
  <c r="C22" i="1" s="1"/>
  <c r="B26" i="8"/>
  <c r="M17" i="4"/>
  <c r="M19" i="4" s="1"/>
  <c r="D17" i="1"/>
  <c r="D20" i="1" s="1"/>
  <c r="D19" i="6"/>
  <c r="D21" i="6" s="1"/>
  <c r="L32" i="5"/>
  <c r="L35" i="5" s="1"/>
  <c r="H32" i="5"/>
  <c r="H35" i="5" s="1"/>
  <c r="E32" i="5"/>
  <c r="E35" i="5" s="1"/>
  <c r="J18" i="5"/>
  <c r="J20" i="5" s="1"/>
  <c r="E18" i="3"/>
  <c r="E25" i="3" s="1"/>
  <c r="E26" i="3" s="1"/>
  <c r="E29" i="3" s="1"/>
  <c r="E20" i="3"/>
  <c r="J20" i="3"/>
  <c r="J18" i="3"/>
  <c r="M18" i="3"/>
  <c r="M20" i="3"/>
  <c r="M25" i="3" s="1"/>
  <c r="M26" i="3" s="1"/>
  <c r="F20" i="3"/>
  <c r="G20" i="3"/>
  <c r="G25" i="3" s="1"/>
  <c r="G26" i="3" s="1"/>
  <c r="E19" i="2"/>
  <c r="E27" i="2" s="1"/>
  <c r="E28" i="2" s="1"/>
  <c r="E31" i="2" s="1"/>
  <c r="B18" i="5"/>
  <c r="B20" i="5" s="1"/>
  <c r="M21" i="2"/>
  <c r="M25" i="5" s="1"/>
  <c r="M29" i="5" s="1"/>
  <c r="M32" i="5" s="1"/>
  <c r="M35" i="5" s="1"/>
  <c r="B26" i="6"/>
  <c r="B30" i="6" s="1"/>
  <c r="B33" i="6" s="1"/>
  <c r="B36" i="6" s="1"/>
  <c r="E21" i="1"/>
  <c r="E22" i="1"/>
  <c r="E28" i="1" s="1"/>
  <c r="E30" i="1" s="1"/>
  <c r="E33" i="1" s="1"/>
  <c r="L21" i="1"/>
  <c r="C19" i="6"/>
  <c r="C21" i="6" s="1"/>
  <c r="L20" i="1"/>
  <c r="C17" i="4"/>
  <c r="C19" i="4" s="1"/>
  <c r="D20" i="3"/>
  <c r="D25" i="3" s="1"/>
  <c r="D26" i="3" s="1"/>
  <c r="D29" i="3" s="1"/>
  <c r="B18" i="3"/>
  <c r="B25" i="3" s="1"/>
  <c r="B26" i="3" s="1"/>
  <c r="L20" i="3"/>
  <c r="L25" i="3" s="1"/>
  <c r="L26" i="3" s="1"/>
  <c r="L27" i="3" s="1"/>
  <c r="L28" i="3" s="1"/>
  <c r="C20" i="3"/>
  <c r="C25" i="3" s="1"/>
  <c r="C26" i="3" s="1"/>
  <c r="C29" i="3" s="1"/>
  <c r="N14" i="3"/>
  <c r="N15" i="2"/>
  <c r="D18" i="5"/>
  <c r="D20" i="5" s="1"/>
  <c r="F19" i="2"/>
  <c r="F27" i="2" s="1"/>
  <c r="F28" i="2" s="1"/>
  <c r="F31" i="2" s="1"/>
  <c r="L19" i="2"/>
  <c r="L27" i="2" s="1"/>
  <c r="L28" i="2" s="1"/>
  <c r="L29" i="2" s="1"/>
  <c r="L30" i="2" s="1"/>
  <c r="I18" i="5"/>
  <c r="I20" i="5" s="1"/>
  <c r="I32" i="5" s="1"/>
  <c r="I35" i="5" s="1"/>
  <c r="H19" i="2"/>
  <c r="H27" i="2" s="1"/>
  <c r="H28" i="2" s="1"/>
  <c r="H31" i="2" s="1"/>
  <c r="C18" i="5"/>
  <c r="C20" i="5" s="1"/>
  <c r="C16" i="2"/>
  <c r="C21" i="2" s="1"/>
  <c r="C25" i="5" s="1"/>
  <c r="C29" i="5" s="1"/>
  <c r="J20" i="1"/>
  <c r="F25" i="3"/>
  <c r="F26" i="3" s="1"/>
  <c r="F27" i="3" s="1"/>
  <c r="F28" i="3" s="1"/>
  <c r="N15" i="3"/>
  <c r="H20" i="3"/>
  <c r="H25" i="3" s="1"/>
  <c r="H26" i="3" s="1"/>
  <c r="H27" i="3" s="1"/>
  <c r="H28" i="3" s="1"/>
  <c r="J21" i="2"/>
  <c r="J25" i="5" s="1"/>
  <c r="J29" i="5" s="1"/>
  <c r="K19" i="2"/>
  <c r="K27" i="2" s="1"/>
  <c r="K28" i="2" s="1"/>
  <c r="I19" i="2"/>
  <c r="I27" i="2" s="1"/>
  <c r="I28" i="2" s="1"/>
  <c r="D21" i="2"/>
  <c r="D25" i="5" s="1"/>
  <c r="D29" i="5" s="1"/>
  <c r="I21" i="1"/>
  <c r="G20" i="1"/>
  <c r="G21" i="1"/>
  <c r="K32" i="5"/>
  <c r="K35" i="5" s="1"/>
  <c r="B21" i="2"/>
  <c r="B25" i="5" s="1"/>
  <c r="B29" i="5" s="1"/>
  <c r="B19" i="2"/>
  <c r="K21" i="1"/>
  <c r="K22" i="1"/>
  <c r="K24" i="4" s="1"/>
  <c r="K27" i="4" s="1"/>
  <c r="K30" i="4" s="1"/>
  <c r="K33" i="4" s="1"/>
  <c r="J21" i="1"/>
  <c r="I20" i="1"/>
  <c r="H20" i="1"/>
  <c r="B28" i="1"/>
  <c r="B30" i="1" s="1"/>
  <c r="C26" i="6"/>
  <c r="C30" i="6" s="1"/>
  <c r="C24" i="4"/>
  <c r="C27" i="4" s="1"/>
  <c r="B19" i="4"/>
  <c r="M26" i="6"/>
  <c r="M30" i="6" s="1"/>
  <c r="M33" i="6" s="1"/>
  <c r="M24" i="4"/>
  <c r="M27" i="4" s="1"/>
  <c r="L26" i="6"/>
  <c r="L30" i="6" s="1"/>
  <c r="L24" i="4"/>
  <c r="L27" i="4" s="1"/>
  <c r="L30" i="4" s="1"/>
  <c r="L33" i="4" s="1"/>
  <c r="H22" i="1"/>
  <c r="E24" i="4"/>
  <c r="E27" i="4" s="1"/>
  <c r="E30" i="4" s="1"/>
  <c r="E33" i="4" s="1"/>
  <c r="G26" i="6"/>
  <c r="G30" i="6" s="1"/>
  <c r="G33" i="6" s="1"/>
  <c r="G36" i="6" s="1"/>
  <c r="G24" i="4"/>
  <c r="G27" i="4" s="1"/>
  <c r="G30" i="4" s="1"/>
  <c r="G33" i="4" s="1"/>
  <c r="I24" i="4"/>
  <c r="I27" i="4" s="1"/>
  <c r="I30" i="4" s="1"/>
  <c r="I33" i="4" s="1"/>
  <c r="I26" i="6"/>
  <c r="I30" i="6" s="1"/>
  <c r="I33" i="6" s="1"/>
  <c r="I36" i="6" s="1"/>
  <c r="C20" i="1"/>
  <c r="C28" i="1" s="1"/>
  <c r="C30" i="1" s="1"/>
  <c r="C33" i="1" s="1"/>
  <c r="J24" i="4"/>
  <c r="J27" i="4" s="1"/>
  <c r="J30" i="4" s="1"/>
  <c r="J33" i="4" s="1"/>
  <c r="J26" i="6"/>
  <c r="J30" i="6" s="1"/>
  <c r="J33" i="6" s="1"/>
  <c r="J36" i="6" s="1"/>
  <c r="K25" i="3"/>
  <c r="K26" i="3" s="1"/>
  <c r="K29" i="3" s="1"/>
  <c r="J25" i="3"/>
  <c r="J26" i="3" s="1"/>
  <c r="I25" i="3"/>
  <c r="I26" i="3" s="1"/>
  <c r="N20" i="2"/>
  <c r="N18" i="2"/>
  <c r="M28" i="1"/>
  <c r="M30" i="1" s="1"/>
  <c r="F20" i="1"/>
  <c r="F22" i="1"/>
  <c r="F21" i="1"/>
  <c r="C32" i="5" l="1"/>
  <c r="C35" i="5" s="1"/>
  <c r="J32" i="5"/>
  <c r="J35" i="5" s="1"/>
  <c r="G27" i="2"/>
  <c r="G28" i="2" s="1"/>
  <c r="G29" i="2" s="1"/>
  <c r="G30" i="2" s="1"/>
  <c r="L33" i="6"/>
  <c r="L36" i="6" s="1"/>
  <c r="D21" i="1"/>
  <c r="E26" i="6"/>
  <c r="E30" i="6" s="1"/>
  <c r="E33" i="6" s="1"/>
  <c r="E36" i="6" s="1"/>
  <c r="N17" i="1"/>
  <c r="M30" i="4"/>
  <c r="M33" i="4" s="1"/>
  <c r="D22" i="1"/>
  <c r="N22" i="1" s="1"/>
  <c r="L28" i="1"/>
  <c r="L30" i="1" s="1"/>
  <c r="L31" i="1" s="1"/>
  <c r="L32" i="1" s="1"/>
  <c r="M27" i="2"/>
  <c r="M28" i="2" s="1"/>
  <c r="M31" i="2" s="1"/>
  <c r="G31" i="2"/>
  <c r="B32" i="5"/>
  <c r="B35" i="5" s="1"/>
  <c r="C30" i="4"/>
  <c r="C33" i="4" s="1"/>
  <c r="N18" i="3"/>
  <c r="C33" i="6"/>
  <c r="C36" i="6" s="1"/>
  <c r="N21" i="1"/>
  <c r="G28" i="1"/>
  <c r="G30" i="1" s="1"/>
  <c r="G33" i="1" s="1"/>
  <c r="M36" i="6"/>
  <c r="F29" i="3"/>
  <c r="C27" i="3"/>
  <c r="C28" i="3" s="1"/>
  <c r="D32" i="5"/>
  <c r="D35" i="5" s="1"/>
  <c r="F29" i="2"/>
  <c r="F30" i="2" s="1"/>
  <c r="L31" i="2"/>
  <c r="I28" i="1"/>
  <c r="I30" i="1" s="1"/>
  <c r="I33" i="1" s="1"/>
  <c r="C39" i="4"/>
  <c r="J28" i="1"/>
  <c r="J30" i="1" s="1"/>
  <c r="J33" i="1" s="1"/>
  <c r="L29" i="3"/>
  <c r="H29" i="3"/>
  <c r="N20" i="3"/>
  <c r="J27" i="2"/>
  <c r="J28" i="2" s="1"/>
  <c r="J31" i="2" s="1"/>
  <c r="C19" i="2"/>
  <c r="C27" i="2" s="1"/>
  <c r="C28" i="2" s="1"/>
  <c r="C31" i="2" s="1"/>
  <c r="N16" i="2"/>
  <c r="K28" i="1"/>
  <c r="K30" i="1" s="1"/>
  <c r="K33" i="1" s="1"/>
  <c r="B30" i="4"/>
  <c r="M33" i="1"/>
  <c r="M31" i="1"/>
  <c r="M32" i="1" s="1"/>
  <c r="B31" i="1"/>
  <c r="B32" i="1" s="1"/>
  <c r="B33" i="1"/>
  <c r="E27" i="3"/>
  <c r="E28" i="3" s="1"/>
  <c r="B29" i="3"/>
  <c r="H29" i="2"/>
  <c r="H30" i="2" s="1"/>
  <c r="D27" i="2"/>
  <c r="D28" i="2" s="1"/>
  <c r="N21" i="2"/>
  <c r="B27" i="2"/>
  <c r="B28" i="2" s="1"/>
  <c r="B31" i="2" s="1"/>
  <c r="K26" i="6"/>
  <c r="K30" i="6" s="1"/>
  <c r="K33" i="6" s="1"/>
  <c r="K36" i="6" s="1"/>
  <c r="H28" i="1"/>
  <c r="H30" i="1" s="1"/>
  <c r="H33" i="1" s="1"/>
  <c r="N20" i="1"/>
  <c r="H24" i="4"/>
  <c r="H27" i="4" s="1"/>
  <c r="H30" i="4" s="1"/>
  <c r="H33" i="4" s="1"/>
  <c r="H26" i="6"/>
  <c r="H30" i="6" s="1"/>
  <c r="H33" i="6" s="1"/>
  <c r="H36" i="6" s="1"/>
  <c r="F24" i="4"/>
  <c r="F27" i="4" s="1"/>
  <c r="F30" i="4" s="1"/>
  <c r="F33" i="4" s="1"/>
  <c r="F26" i="6"/>
  <c r="F30" i="6" s="1"/>
  <c r="F33" i="6" s="1"/>
  <c r="F36" i="6" s="1"/>
  <c r="K27" i="3"/>
  <c r="K28" i="3" s="1"/>
  <c r="D27" i="3"/>
  <c r="D28" i="3" s="1"/>
  <c r="M27" i="3"/>
  <c r="M28" i="3" s="1"/>
  <c r="M29" i="3"/>
  <c r="G29" i="3"/>
  <c r="G27" i="3"/>
  <c r="G28" i="3" s="1"/>
  <c r="B27" i="3"/>
  <c r="B28" i="3" s="1"/>
  <c r="J29" i="3"/>
  <c r="J27" i="3"/>
  <c r="J28" i="3" s="1"/>
  <c r="I29" i="3"/>
  <c r="I27" i="3"/>
  <c r="I28" i="3" s="1"/>
  <c r="C31" i="1"/>
  <c r="C32" i="1" s="1"/>
  <c r="L33" i="1"/>
  <c r="E29" i="2"/>
  <c r="E30" i="2" s="1"/>
  <c r="K31" i="2"/>
  <c r="K29" i="2"/>
  <c r="K30" i="2" s="1"/>
  <c r="I31" i="2"/>
  <c r="I29" i="2"/>
  <c r="I30" i="2" s="1"/>
  <c r="F28" i="1"/>
  <c r="F30" i="1" s="1"/>
  <c r="F33" i="1" s="1"/>
  <c r="E31" i="1"/>
  <c r="E32" i="1" s="1"/>
  <c r="M29" i="2" l="1"/>
  <c r="M30" i="2" s="1"/>
  <c r="D26" i="6"/>
  <c r="D30" i="6" s="1"/>
  <c r="D33" i="6" s="1"/>
  <c r="D36" i="6" s="1"/>
  <c r="D24" i="4"/>
  <c r="D27" i="4" s="1"/>
  <c r="D30" i="4" s="1"/>
  <c r="D33" i="4" s="1"/>
  <c r="D28" i="1"/>
  <c r="D30" i="1" s="1"/>
  <c r="N19" i="2"/>
  <c r="G31" i="1"/>
  <c r="G32" i="1" s="1"/>
  <c r="N25" i="3"/>
  <c r="N26" i="3" s="1"/>
  <c r="N29" i="3" s="1"/>
  <c r="N27" i="2"/>
  <c r="N28" i="2" s="1"/>
  <c r="N31" i="2" s="1"/>
  <c r="J29" i="2"/>
  <c r="J30" i="2" s="1"/>
  <c r="J31" i="1"/>
  <c r="J32" i="1" s="1"/>
  <c r="N28" i="1"/>
  <c r="N30" i="1" s="1"/>
  <c r="H31" i="1"/>
  <c r="H32" i="1" s="1"/>
  <c r="I31" i="1"/>
  <c r="I32" i="1" s="1"/>
  <c r="K31" i="1"/>
  <c r="K32" i="1" s="1"/>
  <c r="C29" i="2"/>
  <c r="C30" i="2" s="1"/>
  <c r="D31" i="2"/>
  <c r="D29" i="2"/>
  <c r="D30" i="2" s="1"/>
  <c r="B29" i="2"/>
  <c r="B30" i="2" s="1"/>
  <c r="B33" i="4"/>
  <c r="N27" i="3"/>
  <c r="N28" i="3"/>
  <c r="F31" i="1"/>
  <c r="D33" i="1" l="1"/>
  <c r="D31" i="1"/>
  <c r="D32" i="1" s="1"/>
  <c r="D39" i="4"/>
  <c r="E39" i="4" s="1"/>
  <c r="F39" i="4" s="1"/>
  <c r="G39" i="4" s="1"/>
  <c r="H39" i="4" s="1"/>
  <c r="I39" i="4" s="1"/>
  <c r="N29" i="2"/>
  <c r="N31" i="1"/>
  <c r="N32" i="1" s="1"/>
  <c r="N33" i="1" s="1"/>
  <c r="N30" i="2"/>
  <c r="B35" i="4"/>
  <c r="B37" i="4" s="1"/>
  <c r="C6" i="4" s="1"/>
  <c r="F32" i="1"/>
  <c r="B40" i="4" l="1"/>
  <c r="J39" i="4"/>
  <c r="C14" i="4" l="1"/>
  <c r="C32" i="4" s="1"/>
  <c r="C35" i="4" s="1"/>
  <c r="K39" i="4"/>
  <c r="C37" i="4" l="1"/>
  <c r="D6" i="4" s="1"/>
  <c r="L39" i="4"/>
  <c r="C40" i="4" l="1"/>
  <c r="M39" i="4"/>
  <c r="D14" i="4" l="1"/>
  <c r="D32" i="4" l="1"/>
  <c r="D35" i="4" l="1"/>
  <c r="D37" i="4" l="1"/>
  <c r="E6" i="4" s="1"/>
  <c r="D40" i="4" l="1"/>
  <c r="E14" i="4" l="1"/>
  <c r="E32" i="4" l="1"/>
  <c r="E35" i="4" l="1"/>
  <c r="E37" i="4" l="1"/>
  <c r="F6" i="4" s="1"/>
  <c r="E40" i="4" l="1"/>
  <c r="F14" i="4" l="1"/>
  <c r="F32" i="4" l="1"/>
  <c r="F35" i="4" l="1"/>
  <c r="F37" i="4" l="1"/>
  <c r="G6" i="4" s="1"/>
  <c r="F40" i="4" l="1"/>
  <c r="G14" i="4" l="1"/>
  <c r="G32" i="4" s="1"/>
  <c r="G35" i="4" s="1"/>
  <c r="G37" i="4" s="1"/>
  <c r="H6" i="4" s="1"/>
  <c r="H14" i="4" l="1"/>
  <c r="H32" i="4" s="1"/>
  <c r="H35" i="4" s="1"/>
  <c r="H37" i="4" s="1"/>
  <c r="I6" i="4" s="1"/>
  <c r="G40" i="4"/>
  <c r="H40" i="4" l="1"/>
  <c r="I14" i="4"/>
  <c r="I32" i="4" s="1"/>
  <c r="I35" i="4" s="1"/>
  <c r="I37" i="4" s="1"/>
  <c r="J6" i="4" s="1"/>
  <c r="J14" i="4" l="1"/>
  <c r="J32" i="4" s="1"/>
  <c r="J35" i="4" s="1"/>
  <c r="J37" i="4" s="1"/>
  <c r="K6" i="4" s="1"/>
  <c r="I40" i="4"/>
  <c r="K14" i="4" l="1"/>
  <c r="K32" i="4" s="1"/>
  <c r="K35" i="4" s="1"/>
  <c r="K37" i="4" s="1"/>
  <c r="L6" i="4" s="1"/>
  <c r="J40" i="4"/>
  <c r="L14" i="4" l="1"/>
  <c r="L32" i="4" s="1"/>
  <c r="L35" i="4" s="1"/>
  <c r="L37" i="4" s="1"/>
  <c r="M6" i="4" s="1"/>
  <c r="K40" i="4"/>
  <c r="L40" i="4" l="1"/>
  <c r="M14" i="4" l="1"/>
  <c r="M32" i="4" s="1"/>
  <c r="M35" i="4" l="1"/>
  <c r="M37" i="4" l="1"/>
  <c r="C7" i="7" s="1"/>
  <c r="C10" i="7" s="1"/>
  <c r="C20" i="7" s="1"/>
  <c r="C26" i="7" s="1"/>
  <c r="B7" i="5" l="1"/>
  <c r="B15" i="5" s="1"/>
  <c r="B34" i="5" s="1"/>
  <c r="B37" i="5" s="1"/>
  <c r="B39" i="5" s="1"/>
  <c r="C7" i="5" s="1"/>
  <c r="C15" i="5" s="1"/>
  <c r="C34" i="5" s="1"/>
  <c r="C37" i="5" s="1"/>
  <c r="C39" i="5" s="1"/>
  <c r="D7" i="5" s="1"/>
  <c r="D15" i="5" s="1"/>
  <c r="D34" i="5" s="1"/>
  <c r="D37" i="5" s="1"/>
  <c r="D39" i="5" s="1"/>
  <c r="E7" i="5" s="1"/>
  <c r="E15" i="5" s="1"/>
  <c r="E34" i="5" s="1"/>
  <c r="E37" i="5" s="1"/>
  <c r="E39" i="5" s="1"/>
  <c r="F7" i="5" s="1"/>
  <c r="F15" i="5" s="1"/>
  <c r="F34" i="5" s="1"/>
  <c r="F37" i="5" s="1"/>
  <c r="F39" i="5" s="1"/>
  <c r="G7" i="5" s="1"/>
  <c r="G15" i="5" s="1"/>
  <c r="G34" i="5" s="1"/>
  <c r="G37" i="5" s="1"/>
  <c r="G39" i="5" s="1"/>
  <c r="H7" i="5" s="1"/>
  <c r="H15" i="5" s="1"/>
  <c r="H34" i="5" s="1"/>
  <c r="H37" i="5" s="1"/>
  <c r="H39" i="5" s="1"/>
  <c r="I7" i="5" s="1"/>
  <c r="I15" i="5" s="1"/>
  <c r="I34" i="5" s="1"/>
  <c r="I37" i="5" s="1"/>
  <c r="I39" i="5" s="1"/>
  <c r="J7" i="5" s="1"/>
  <c r="J15" i="5" s="1"/>
  <c r="J34" i="5" s="1"/>
  <c r="J37" i="5" s="1"/>
  <c r="J39" i="5" s="1"/>
  <c r="K7" i="5" s="1"/>
  <c r="K15" i="5" s="1"/>
  <c r="K34" i="5" s="1"/>
  <c r="K37" i="5" s="1"/>
  <c r="K39" i="5" s="1"/>
  <c r="L7" i="5" s="1"/>
  <c r="L15" i="5" s="1"/>
  <c r="L34" i="5" s="1"/>
  <c r="L37" i="5" s="1"/>
  <c r="L39" i="5" s="1"/>
  <c r="M7" i="5" s="1"/>
  <c r="M15" i="5" s="1"/>
  <c r="M40" i="4"/>
  <c r="M34" i="5" l="1"/>
  <c r="M37" i="5" s="1"/>
  <c r="M39" i="5" s="1"/>
  <c r="B9" i="8" s="1"/>
  <c r="B8" i="6" l="1"/>
  <c r="B16" i="6" s="1"/>
  <c r="B35" i="6" s="1"/>
  <c r="B38" i="6" s="1"/>
  <c r="B40" i="6" s="1"/>
  <c r="C8" i="6" s="1"/>
  <c r="C16" i="6" s="1"/>
  <c r="C35" i="6" s="1"/>
  <c r="C38" i="6" s="1"/>
  <c r="C40" i="6" s="1"/>
  <c r="D8" i="6" s="1"/>
  <c r="D16" i="6" s="1"/>
  <c r="D35" i="6" s="1"/>
  <c r="D38" i="6" s="1"/>
  <c r="D40" i="6" s="1"/>
  <c r="E8" i="6" s="1"/>
  <c r="E16" i="6" s="1"/>
  <c r="E35" i="6" s="1"/>
  <c r="E38" i="6" s="1"/>
  <c r="E40" i="6" s="1"/>
  <c r="F8" i="6" s="1"/>
  <c r="F16" i="6" s="1"/>
  <c r="F35" i="6" s="1"/>
  <c r="F38" i="6" s="1"/>
  <c r="F40" i="6" s="1"/>
  <c r="G8" i="6" s="1"/>
  <c r="G16" i="6" s="1"/>
  <c r="G35" i="6" s="1"/>
  <c r="G38" i="6" s="1"/>
  <c r="G40" i="6" s="1"/>
  <c r="H8" i="6" s="1"/>
  <c r="H16" i="6" s="1"/>
  <c r="H35" i="6" s="1"/>
  <c r="H38" i="6" s="1"/>
  <c r="H40" i="6" s="1"/>
  <c r="I8" i="6" s="1"/>
  <c r="I16" i="6" s="1"/>
  <c r="I35" i="6" s="1"/>
  <c r="I38" i="6" s="1"/>
  <c r="I40" i="6" s="1"/>
  <c r="J8" i="6" s="1"/>
  <c r="J16" i="6" s="1"/>
  <c r="J35" i="6" s="1"/>
  <c r="J38" i="6" s="1"/>
  <c r="J40" i="6" s="1"/>
  <c r="K8" i="6" s="1"/>
  <c r="K16" i="6" s="1"/>
  <c r="K35" i="6" s="1"/>
  <c r="K38" i="6" s="1"/>
  <c r="K40" i="6" s="1"/>
  <c r="L8" i="6" s="1"/>
  <c r="L16" i="6" s="1"/>
  <c r="L35" i="6" s="1"/>
  <c r="L38" i="6" s="1"/>
  <c r="L40" i="6" s="1"/>
  <c r="M8" i="6" s="1"/>
  <c r="M16" i="6" s="1"/>
  <c r="M35" i="6" s="1"/>
  <c r="M38" i="6" s="1"/>
  <c r="M40" i="6" s="1"/>
  <c r="B11" i="9" s="1"/>
  <c r="B14" i="9" s="1"/>
  <c r="B25" i="9" s="1"/>
  <c r="B30" i="9" s="1"/>
  <c r="B12" i="8"/>
  <c r="B22" i="8" s="1"/>
  <c r="B27" i="8" s="1"/>
</calcChain>
</file>

<file path=xl/sharedStrings.xml><?xml version="1.0" encoding="utf-8"?>
<sst xmlns="http://schemas.openxmlformats.org/spreadsheetml/2006/main" count="458" uniqueCount="184">
  <si>
    <t xml:space="preserve">Income Statement Year 1 </t>
  </si>
  <si>
    <t>Income Statement Year 2</t>
  </si>
  <si>
    <t xml:space="preserve">Balance Sheet Year 1 </t>
  </si>
  <si>
    <t>Balance Sheet Year 2</t>
  </si>
  <si>
    <t>Balance Sheet Year 3</t>
  </si>
  <si>
    <t xml:space="preserve">Revenue </t>
  </si>
  <si>
    <t xml:space="preserve">Month 1 </t>
  </si>
  <si>
    <t xml:space="preserve">Month 2 </t>
  </si>
  <si>
    <t>Month 3</t>
  </si>
  <si>
    <t>Month 4</t>
  </si>
  <si>
    <t>Month 5</t>
  </si>
  <si>
    <t>Month 6</t>
  </si>
  <si>
    <t>Month 7</t>
  </si>
  <si>
    <t>Month 8</t>
  </si>
  <si>
    <t>Month 9</t>
  </si>
  <si>
    <t>Month 10</t>
  </si>
  <si>
    <t>Month 11</t>
  </si>
  <si>
    <t>Month 12</t>
  </si>
  <si>
    <t xml:space="preserve">Annual Total </t>
  </si>
  <si>
    <t xml:space="preserve">Start Up Costs </t>
  </si>
  <si>
    <t xml:space="preserve">Cost </t>
  </si>
  <si>
    <t xml:space="preserve">Item Description </t>
  </si>
  <si>
    <t xml:space="preserve">Owner Contributions </t>
  </si>
  <si>
    <t>Loan A</t>
  </si>
  <si>
    <t>Loan B</t>
  </si>
  <si>
    <t>Loan C</t>
  </si>
  <si>
    <t xml:space="preserve">Capital </t>
  </si>
  <si>
    <t xml:space="preserve">Past Purchases Items Already Bought for the Business </t>
  </si>
  <si>
    <t xml:space="preserve">Only list items you have already purchased. Not all businesses will need to do this. Items you intend on purchasing do not go here they go on the start up costs listing below </t>
  </si>
  <si>
    <t xml:space="preserve">Funding Sources </t>
  </si>
  <si>
    <t>List the ways your start up costs will be funded. For example you may contribute some of your own funds, you may be negotiating loans from different sources or you may have received a grant to help you with the start up expenses that are listed below.</t>
  </si>
  <si>
    <t xml:space="preserve">List the start up costs of the business. Examples are provided here but there may be others. </t>
  </si>
  <si>
    <t xml:space="preserve">Total Start Up Costs </t>
  </si>
  <si>
    <t>Wages</t>
  </si>
  <si>
    <t>Legal Fees</t>
  </si>
  <si>
    <t xml:space="preserve">Advertising </t>
  </si>
  <si>
    <t>Supplies</t>
  </si>
  <si>
    <t xml:space="preserve">Interest Expense </t>
  </si>
  <si>
    <t xml:space="preserve">Add expenses as you go below by inserting rows </t>
  </si>
  <si>
    <t xml:space="preserve">Total Expenses </t>
  </si>
  <si>
    <t xml:space="preserve">Estimated Income Tax % </t>
  </si>
  <si>
    <t>Net Profit After Tax</t>
  </si>
  <si>
    <r>
      <t>2. Gross Profit:</t>
    </r>
    <r>
      <rPr>
        <sz val="12"/>
        <color rgb="FF000000"/>
        <rFont val="Times New Roman"/>
        <family val="1"/>
      </rPr>
      <t> </t>
    </r>
    <r>
      <rPr>
        <sz val="10"/>
        <color rgb="FF000000"/>
        <rFont val="Courier New"/>
        <family val="1"/>
      </rPr>
      <t>=B6-B8</t>
    </r>
    <r>
      <rPr>
        <sz val="12"/>
        <color rgb="FF000000"/>
        <rFont val="Times New Roman"/>
        <family val="1"/>
      </rPr>
      <t> </t>
    </r>
    <r>
      <rPr>
        <i/>
        <sz val="12"/>
        <color rgb="FF000000"/>
        <rFont val="Times New Roman"/>
        <family val="1"/>
      </rPr>
      <t>(Revenue - Cost of Goods Sold)</t>
    </r>
  </si>
  <si>
    <t>Income Statement (Profit &amp; Loss Statement)</t>
  </si>
  <si>
    <r>
      <rPr>
        <sz val="12"/>
        <color rgb="FF000000"/>
        <rFont val="Times New Roman"/>
        <family val="1"/>
      </rPr>
      <t> </t>
    </r>
    <r>
      <rPr>
        <b/>
        <sz val="12"/>
        <color rgb="FF000000"/>
        <rFont val="Times New Roman"/>
        <family val="1"/>
      </rPr>
      <t>Required Formula Usage:</t>
    </r>
  </si>
  <si>
    <t>Format Requirements:</t>
  </si>
  <si>
    <r>
      <rPr>
        <sz val="12"/>
        <color rgb="FF000000"/>
        <rFont val="Times New Roman"/>
        <family val="1"/>
      </rPr>
      <t>Add a </t>
    </r>
    <r>
      <rPr>
        <b/>
        <sz val="12"/>
        <color rgb="FF000000"/>
        <rFont val="Times New Roman"/>
        <family val="1"/>
      </rPr>
      <t>profit margin percentage formula:</t>
    </r>
    <r>
      <rPr>
        <sz val="12"/>
        <color rgb="FF000000"/>
        <rFont val="Times New Roman"/>
        <family val="1"/>
      </rPr>
      <t> </t>
    </r>
    <r>
      <rPr>
        <sz val="10"/>
        <color rgb="FF000000"/>
        <rFont val="Courier New"/>
        <family val="1"/>
      </rPr>
      <t>=B18/B6</t>
    </r>
    <r>
      <rPr>
        <sz val="12"/>
        <color rgb="FF000000"/>
        <rFont val="Times New Roman"/>
        <family val="1"/>
      </rPr>
      <t> </t>
    </r>
    <r>
      <rPr>
        <i/>
        <sz val="12"/>
        <color rgb="FF000000"/>
        <rFont val="Times New Roman"/>
        <family val="1"/>
      </rPr>
      <t>(Net Income ÷ Revenue)</t>
    </r>
  </si>
  <si>
    <r>
      <t>1. Total Revenue:</t>
    </r>
    <r>
      <rPr>
        <sz val="12"/>
        <color rgb="FF000000"/>
        <rFont val="Times New Roman"/>
        <family val="1"/>
      </rPr>
      <t> </t>
    </r>
    <r>
      <rPr>
        <sz val="10"/>
        <color rgb="FF000000"/>
        <rFont val="Courier New"/>
        <family val="1"/>
      </rPr>
      <t>=SUM(B4:B6)</t>
    </r>
    <r>
      <rPr>
        <sz val="12"/>
        <color rgb="FF000000"/>
        <rFont val="Times New Roman"/>
        <family val="1"/>
      </rPr>
      <t> </t>
    </r>
    <r>
      <rPr>
        <i/>
        <sz val="12"/>
        <color rgb="FF000000"/>
        <rFont val="Times New Roman"/>
        <family val="1"/>
      </rPr>
      <t>(if revenue is in rows 4-6)</t>
    </r>
  </si>
  <si>
    <t>COGS</t>
  </si>
  <si>
    <r>
      <t>3. Total Operating Expenses:</t>
    </r>
    <r>
      <rPr>
        <sz val="12"/>
        <color rgb="FF000000"/>
        <rFont val="Times New Roman"/>
        <family val="1"/>
      </rPr>
      <t> </t>
    </r>
    <r>
      <rPr>
        <sz val="10"/>
        <color rgb="FF000000"/>
        <rFont val="Courier New"/>
        <family val="1"/>
      </rPr>
      <t>=SUM(B10:B17)</t>
    </r>
    <r>
      <rPr>
        <sz val="12"/>
        <color rgb="FF000000"/>
        <rFont val="Times New Roman"/>
        <family val="1"/>
      </rPr>
      <t> </t>
    </r>
    <r>
      <rPr>
        <i/>
        <sz val="12"/>
        <color rgb="FF000000"/>
        <rFont val="Times New Roman"/>
        <family val="1"/>
      </rPr>
      <t>(Sum of fixed &amp; variable costs)</t>
    </r>
  </si>
  <si>
    <r>
      <t>4. Net Income (Profit/Loss):</t>
    </r>
    <r>
      <rPr>
        <sz val="12"/>
        <color rgb="FF000000"/>
        <rFont val="Times New Roman"/>
        <family val="1"/>
      </rPr>
      <t> </t>
    </r>
    <r>
      <rPr>
        <sz val="10"/>
        <color rgb="FF000000"/>
        <rFont val="Courier New"/>
        <family val="1"/>
      </rPr>
      <t>=B10-B8-B20</t>
    </r>
    <r>
      <rPr>
        <sz val="12"/>
        <color rgb="FF000000"/>
        <rFont val="Times New Roman"/>
        <family val="1"/>
      </rPr>
      <t> </t>
    </r>
    <r>
      <rPr>
        <i/>
        <sz val="12"/>
        <color rgb="FF000000"/>
        <rFont val="Times New Roman"/>
        <family val="1"/>
      </rPr>
      <t>(Gross Profit - Operating Expenses)</t>
    </r>
  </si>
  <si>
    <t>Net Income Before Tax</t>
  </si>
  <si>
    <t xml:space="preserve">Total Revenue </t>
  </si>
  <si>
    <t xml:space="preserve">Gross Profit </t>
  </si>
  <si>
    <r>
      <t>Ensure the equation </t>
    </r>
    <r>
      <rPr>
        <b/>
        <sz val="12"/>
        <color rgb="FF000000"/>
        <rFont val="Calibri"/>
        <family val="2"/>
        <scheme val="minor"/>
      </rPr>
      <t>Assets = Liabilities + Equity</t>
    </r>
    <r>
      <rPr>
        <sz val="12"/>
        <color rgb="FF000000"/>
        <rFont val="Calibri"/>
        <family val="2"/>
        <scheme val="minor"/>
      </rPr>
      <t> holds for every month.</t>
    </r>
  </si>
  <si>
    <r>
      <t>Total Current Assets:</t>
    </r>
    <r>
      <rPr>
        <sz val="12"/>
        <color rgb="FF000000"/>
        <rFont val="Calibri"/>
        <family val="2"/>
        <scheme val="minor"/>
      </rPr>
      <t> </t>
    </r>
    <r>
      <rPr>
        <sz val="10"/>
        <color rgb="FF000000"/>
        <rFont val="Arial Unicode MS"/>
        <family val="2"/>
      </rPr>
      <t>=SUM(B3:B7)</t>
    </r>
    <r>
      <rPr>
        <sz val="12"/>
        <color rgb="FF000000"/>
        <rFont val="Calibri"/>
        <family val="2"/>
        <scheme val="minor"/>
      </rPr>
      <t> </t>
    </r>
    <r>
      <rPr>
        <i/>
        <sz val="12"/>
        <color rgb="FF000000"/>
        <rFont val="Calibri"/>
        <family val="2"/>
        <scheme val="minor"/>
      </rPr>
      <t>(Sum of cash, receivables, inventory, etc.)</t>
    </r>
  </si>
  <si>
    <r>
      <t>Total Fixed Assets:</t>
    </r>
    <r>
      <rPr>
        <sz val="12"/>
        <color rgb="FF000000"/>
        <rFont val="Calibri"/>
        <family val="2"/>
        <scheme val="minor"/>
      </rPr>
      <t> </t>
    </r>
    <r>
      <rPr>
        <sz val="10"/>
        <color rgb="FF000000"/>
        <rFont val="Arial Unicode MS"/>
        <family val="2"/>
      </rPr>
      <t>=SUM(B9:B11)</t>
    </r>
    <r>
      <rPr>
        <sz val="12"/>
        <color rgb="FF000000"/>
        <rFont val="Calibri"/>
        <family val="2"/>
        <scheme val="minor"/>
      </rPr>
      <t> </t>
    </r>
    <r>
      <rPr>
        <i/>
        <sz val="12"/>
        <color rgb="FF000000"/>
        <rFont val="Calibri"/>
        <family val="2"/>
        <scheme val="minor"/>
      </rPr>
      <t>(Sum of equipment, land, etc.)</t>
    </r>
  </si>
  <si>
    <r>
      <t>Total Liabilities:</t>
    </r>
    <r>
      <rPr>
        <sz val="12"/>
        <color rgb="FF000000"/>
        <rFont val="Calibri"/>
        <family val="2"/>
        <scheme val="minor"/>
      </rPr>
      <t> </t>
    </r>
    <r>
      <rPr>
        <sz val="10"/>
        <color rgb="FF000000"/>
        <rFont val="Arial Unicode MS"/>
        <family val="2"/>
      </rPr>
      <t>=SUM(B14:B18)</t>
    </r>
    <r>
      <rPr>
        <sz val="12"/>
        <color rgb="FF000000"/>
        <rFont val="Calibri"/>
        <family val="2"/>
        <scheme val="minor"/>
      </rPr>
      <t> </t>
    </r>
    <r>
      <rPr>
        <i/>
        <sz val="12"/>
        <color rgb="FF000000"/>
        <rFont val="Calibri"/>
        <family val="2"/>
        <scheme val="minor"/>
      </rPr>
      <t>(Sum of debts, accounts payable, etc.)</t>
    </r>
  </si>
  <si>
    <r>
      <t>Owner’s Equity:</t>
    </r>
    <r>
      <rPr>
        <sz val="12"/>
        <color rgb="FF000000"/>
        <rFont val="Calibri"/>
        <family val="2"/>
        <scheme val="minor"/>
      </rPr>
      <t> </t>
    </r>
    <r>
      <rPr>
        <sz val="10"/>
        <color rgb="FF000000"/>
        <rFont val="Arial Unicode MS"/>
        <family val="2"/>
      </rPr>
      <t>=B12-B19</t>
    </r>
    <r>
      <rPr>
        <sz val="12"/>
        <color rgb="FF000000"/>
        <rFont val="Calibri"/>
        <family val="2"/>
        <scheme val="minor"/>
      </rPr>
      <t> </t>
    </r>
    <r>
      <rPr>
        <i/>
        <sz val="12"/>
        <color rgb="FF000000"/>
        <rFont val="Calibri"/>
        <family val="2"/>
        <scheme val="minor"/>
      </rPr>
      <t>(Assets - Liabilities)</t>
    </r>
  </si>
  <si>
    <t>Balance Sheet</t>
  </si>
  <si>
    <r>
      <t> </t>
    </r>
    <r>
      <rPr>
        <b/>
        <sz val="12"/>
        <color rgb="FF000000"/>
        <rFont val="Calibri"/>
        <family val="2"/>
        <scheme val="minor"/>
      </rPr>
      <t>Required Formula Usage:</t>
    </r>
  </si>
  <si>
    <t>Use conditional formatting to highlight negative cash balances in red.</t>
  </si>
  <si>
    <r>
      <t>Use </t>
    </r>
    <r>
      <rPr>
        <b/>
        <sz val="12"/>
        <color rgb="FF000000"/>
        <rFont val="Calibri"/>
        <family val="2"/>
        <scheme val="minor"/>
      </rPr>
      <t>bold for section totals</t>
    </r>
    <r>
      <rPr>
        <sz val="12"/>
        <color rgb="FF000000"/>
        <rFont val="Calibri"/>
        <family val="2"/>
        <scheme val="minor"/>
      </rPr>
      <t> (Total Assets, Total Liabilities, Total Equity).</t>
    </r>
  </si>
  <si>
    <t>Cash on Hand (beginnning of the month)</t>
  </si>
  <si>
    <t>Accounts Receivable</t>
  </si>
  <si>
    <t>Cash Sales</t>
  </si>
  <si>
    <t>Cash In</t>
  </si>
  <si>
    <t xml:space="preserve">Total Cash In </t>
  </si>
  <si>
    <t>Cash Out</t>
  </si>
  <si>
    <t xml:space="preserve">Operating Expenses </t>
  </si>
  <si>
    <t xml:space="preserve">Salaries and Wages </t>
  </si>
  <si>
    <t>Rent</t>
  </si>
  <si>
    <t>Subtotal Operating expenses</t>
  </si>
  <si>
    <t xml:space="preserve">Subtotal Cash Out </t>
  </si>
  <si>
    <t xml:space="preserve">Total Cash Out </t>
  </si>
  <si>
    <t>Total Cash Inlays</t>
  </si>
  <si>
    <t>Total Cash Outlays</t>
  </si>
  <si>
    <t>Total Cash Available Before Cash Outlays</t>
  </si>
  <si>
    <r>
      <t>Ensure </t>
    </r>
    <r>
      <rPr>
        <b/>
        <sz val="12"/>
        <color rgb="FF000000"/>
        <rFont val="Calibri"/>
        <family val="2"/>
        <scheme val="minor"/>
      </rPr>
      <t>Assets column = Liabilities + Equity column</t>
    </r>
    <r>
      <rPr>
        <sz val="12"/>
        <color rgb="FF000000"/>
        <rFont val="Calibri"/>
        <family val="2"/>
        <scheme val="minor"/>
      </rPr>
      <t> </t>
    </r>
  </si>
  <si>
    <t xml:space="preserve">Net Changes in Cash </t>
  </si>
  <si>
    <t>Retained Earnings</t>
  </si>
  <si>
    <t xml:space="preserve">Ending Cash Balance </t>
  </si>
  <si>
    <t xml:space="preserve">Start up costs </t>
  </si>
  <si>
    <t>Website Domain &amp; hosting ($100), e-commerce setup ($250), website maintenance ($150)</t>
  </si>
  <si>
    <t>Permits &amp; legal fees ($400), unexpected expenses ($300)</t>
  </si>
  <si>
    <t>Sales Category 1 ( Direct Sale)</t>
  </si>
  <si>
    <t>Sales Category 2 ( Online Sales)</t>
  </si>
  <si>
    <t xml:space="preserve"> Wholesale sales</t>
  </si>
  <si>
    <t xml:space="preserve">Profit Margin </t>
  </si>
  <si>
    <t>]\ i</t>
  </si>
  <si>
    <t>Assets</t>
  </si>
  <si>
    <t>Cash</t>
  </si>
  <si>
    <t>Receivables</t>
  </si>
  <si>
    <t>Inventory</t>
  </si>
  <si>
    <t xml:space="preserve">Total current Assets </t>
  </si>
  <si>
    <t xml:space="preserve">Fixed Assets </t>
  </si>
  <si>
    <t xml:space="preserve">Liability </t>
  </si>
  <si>
    <t xml:space="preserve">Total Liability </t>
  </si>
  <si>
    <t xml:space="preserve">Owners Equity </t>
  </si>
  <si>
    <t xml:space="preserve">Total </t>
  </si>
  <si>
    <t xml:space="preserve">Past Purchases </t>
  </si>
  <si>
    <t>Computer and printer)</t>
  </si>
  <si>
    <t>internet and phone services )</t>
  </si>
  <si>
    <t xml:space="preserve">Equipment </t>
  </si>
  <si>
    <t>Mixers</t>
  </si>
  <si>
    <t>molds</t>
  </si>
  <si>
    <t xml:space="preserve">cutting tools </t>
  </si>
  <si>
    <t xml:space="preserve">Work table </t>
  </si>
  <si>
    <t>Digital Thermometer</t>
  </si>
  <si>
    <t>Shelving Rack</t>
  </si>
  <si>
    <t>Lrge Sink</t>
  </si>
  <si>
    <t xml:space="preserve">Essential oils </t>
  </si>
  <si>
    <t xml:space="preserve">Shea butter </t>
  </si>
  <si>
    <t xml:space="preserve">Packaging </t>
  </si>
  <si>
    <t>Inventory (ingredients for the initial production)</t>
  </si>
  <si>
    <t xml:space="preserve">Natural extracts </t>
  </si>
  <si>
    <t>Marketing (Social media ads -Instagram, Facebook Ads, Google Ads), seasonal promotions/Social media ads , seasonal promotions influencer collaborations</t>
  </si>
  <si>
    <t>Month</t>
  </si>
  <si>
    <t>Year 1 Sales</t>
  </si>
  <si>
    <t>Year 2 Sales</t>
  </si>
  <si>
    <t>Year 3 Sales</t>
  </si>
  <si>
    <t xml:space="preserve">Precio de vantas </t>
  </si>
  <si>
    <t>January</t>
  </si>
  <si>
    <t>February</t>
  </si>
  <si>
    <t>March</t>
  </si>
  <si>
    <t>April</t>
  </si>
  <si>
    <t>May</t>
  </si>
  <si>
    <t>June</t>
  </si>
  <si>
    <t>July</t>
  </si>
  <si>
    <t>August</t>
  </si>
  <si>
    <t>September</t>
  </si>
  <si>
    <t>October</t>
  </si>
  <si>
    <t>November</t>
  </si>
  <si>
    <t>December</t>
  </si>
  <si>
    <t xml:space="preserve">Total fixed  Assets </t>
  </si>
  <si>
    <t xml:space="preserve">Total  Assets </t>
  </si>
  <si>
    <t xml:space="preserve">Loan Detail </t>
  </si>
  <si>
    <t xml:space="preserve">Accounts payable Suppliers </t>
  </si>
  <si>
    <t xml:space="preserve">Loans payable </t>
  </si>
  <si>
    <t>Balance Sheet Year 1</t>
  </si>
  <si>
    <t>Total Current Assets</t>
  </si>
  <si>
    <t>Total Fixed Assets (before depreciation)</t>
  </si>
  <si>
    <t>Less: Accumulated Depreciation</t>
  </si>
  <si>
    <t>-</t>
  </si>
  <si>
    <t>Total Fixed Assets (after depreciation)</t>
  </si>
  <si>
    <t>Total Assets</t>
  </si>
  <si>
    <t>Total Liabilities</t>
  </si>
  <si>
    <t>Owner's Equity (before retained earnings)</t>
  </si>
  <si>
    <t>Total Owner's Equity (after retained earnings)</t>
  </si>
  <si>
    <t>Depreciation xpense</t>
  </si>
  <si>
    <t>Operating expenses</t>
  </si>
  <si>
    <t xml:space="preserve">Depreciaton </t>
  </si>
  <si>
    <t xml:space="preserve">Depreciation </t>
  </si>
  <si>
    <t xml:space="preserve">Operating expenses </t>
  </si>
  <si>
    <t>Interest expenses</t>
  </si>
  <si>
    <t xml:space="preserve">Loan payable </t>
  </si>
  <si>
    <t>Monthly payment 85.42</t>
  </si>
  <si>
    <t>year 1</t>
  </si>
  <si>
    <t>year 2</t>
  </si>
  <si>
    <t>year 3</t>
  </si>
  <si>
    <t>interest expense</t>
  </si>
  <si>
    <t>Interest expense</t>
  </si>
  <si>
    <t>Depreciation expense</t>
  </si>
  <si>
    <t xml:space="preserve">Loan repayment </t>
  </si>
  <si>
    <t>interest expenses</t>
  </si>
  <si>
    <t xml:space="preserve">Office Supplies </t>
  </si>
  <si>
    <t>Large Sink</t>
  </si>
  <si>
    <t>1350-</t>
  </si>
  <si>
    <t>Essence of Grace</t>
  </si>
  <si>
    <t xml:space="preserve">Cash flow Statement </t>
  </si>
  <si>
    <t>For the year ended March 31, 2025</t>
  </si>
  <si>
    <t>(In Canadian Dollars-CAD)</t>
  </si>
  <si>
    <t>For the year ended March 31, 2026</t>
  </si>
  <si>
    <t>For the year ended March 31, 2027</t>
  </si>
  <si>
    <t xml:space="preserve">Cash Flow Statement </t>
  </si>
  <si>
    <t xml:space="preserve">Income statement </t>
  </si>
  <si>
    <t>As of  March 31, 2025</t>
  </si>
  <si>
    <t xml:space="preserve">Balance Sheet </t>
  </si>
  <si>
    <t xml:space="preserve">An Expansion strategy for year 3 will be implemented </t>
  </si>
  <si>
    <t>Columna1</t>
  </si>
  <si>
    <t>Columna2</t>
  </si>
  <si>
    <t xml:space="preserve">month 1 </t>
  </si>
  <si>
    <t>Total</t>
  </si>
  <si>
    <t>Month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</si>
</sst>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7" formatCode="&quot;$&quot;#,##0.00_);\(&quot;$&quot;#,##0.00\)"/>
    <numFmt numFmtId="44" formatCode="_(&quot;$&quot;* #,##0.00_);_(&quot;$&quot;* \(#,##0.00\);_(&quot;$&quot;* &quot;-&quot;??_);_(@_)"/>
    <numFmt numFmtId="43" formatCode="_(* #,##0.00_);_(* \(#,##0.00\);_(* &quot;-&quot;??_);_(@_)"/>
    <numFmt numFmtId="164" formatCode="&quot;$&quot;#,##0.00"/>
  </numFmts>
  <fonts count="18">
    <font>
      <sz val="12"/>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sz val="12"/>
      <color rgb="FF000000"/>
      <name val="Calibri"/>
      <family val="2"/>
      <scheme val="minor"/>
    </font>
    <font>
      <b/>
      <sz val="12"/>
      <color rgb="FF000000"/>
      <name val="Calibri"/>
      <family val="2"/>
      <scheme val="minor"/>
    </font>
    <font>
      <b/>
      <sz val="13.5"/>
      <color rgb="FF000000"/>
      <name val="Times New Roman"/>
      <family val="1"/>
    </font>
    <font>
      <sz val="12"/>
      <color rgb="FF000000"/>
      <name val="Times New Roman"/>
      <family val="1"/>
    </font>
    <font>
      <b/>
      <sz val="12"/>
      <color rgb="FF000000"/>
      <name val="Times New Roman"/>
      <family val="1"/>
    </font>
    <font>
      <sz val="10"/>
      <color rgb="FF000000"/>
      <name val="Courier New"/>
      <family val="1"/>
    </font>
    <font>
      <i/>
      <sz val="12"/>
      <color rgb="FF000000"/>
      <name val="Times New Roman"/>
      <family val="1"/>
    </font>
    <font>
      <b/>
      <sz val="13.5"/>
      <color rgb="FF000000"/>
      <name val="Calibri"/>
      <family val="2"/>
      <scheme val="minor"/>
    </font>
    <font>
      <sz val="10"/>
      <color rgb="FF000000"/>
      <name val="Arial Unicode MS"/>
      <family val="2"/>
    </font>
    <font>
      <i/>
      <sz val="12"/>
      <color rgb="FF000000"/>
      <name val="Calibri"/>
      <family val="2"/>
      <scheme val="minor"/>
    </font>
    <font>
      <b/>
      <i/>
      <sz val="12"/>
      <color theme="1"/>
      <name val="Calibri"/>
      <family val="2"/>
      <scheme val="minor"/>
    </font>
    <font>
      <b/>
      <sz val="11"/>
      <color theme="1"/>
      <name val="Calibri"/>
      <family val="2"/>
      <scheme val="minor"/>
    </font>
    <font>
      <sz val="12"/>
      <name val="Calibri"/>
      <family val="2"/>
      <scheme val="minor"/>
    </font>
    <font>
      <i/>
      <sz val="12"/>
      <color theme="1"/>
      <name val="Calibri"/>
      <family val="2"/>
      <scheme val="minor"/>
    </font>
  </fonts>
  <fills count="7">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4"/>
        <bgColor indexed="64"/>
      </patternFill>
    </fill>
    <fill>
      <patternFill patternType="solid">
        <fgColor theme="3" tint="0.39997558519241921"/>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34">
    <xf numFmtId="0" fontId="0" fillId="0" borderId="0" xfId="0"/>
    <xf numFmtId="0" fontId="0" fillId="0" borderId="0" xfId="0" applyAlignment="1">
      <alignment vertical="top" wrapText="1"/>
    </xf>
    <xf numFmtId="0" fontId="0" fillId="0" borderId="0" xfId="0" applyAlignment="1">
      <alignment wrapText="1"/>
    </xf>
    <xf numFmtId="0" fontId="4" fillId="0" borderId="0" xfId="0" applyFont="1"/>
    <xf numFmtId="0" fontId="5" fillId="0" borderId="0" xfId="0" applyFont="1"/>
    <xf numFmtId="0" fontId="6" fillId="3" borderId="0" xfId="0" applyFont="1" applyFill="1" applyAlignment="1">
      <alignment vertical="center"/>
    </xf>
    <xf numFmtId="0" fontId="0" fillId="3" borderId="0" xfId="0" applyFill="1"/>
    <xf numFmtId="0" fontId="7" fillId="3" borderId="0" xfId="0" applyFont="1" applyFill="1" applyAlignment="1">
      <alignment vertical="center"/>
    </xf>
    <xf numFmtId="0" fontId="0" fillId="3" borderId="0" xfId="0" applyFill="1" applyAlignment="1">
      <alignment vertical="center"/>
    </xf>
    <xf numFmtId="0" fontId="8" fillId="3" borderId="0" xfId="0" applyFont="1" applyFill="1" applyAlignment="1">
      <alignment vertical="center"/>
    </xf>
    <xf numFmtId="0" fontId="11" fillId="0" borderId="0" xfId="0" applyFont="1"/>
    <xf numFmtId="0" fontId="12" fillId="0" borderId="0" xfId="0" applyFont="1"/>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left" vertical="center" indent="1"/>
    </xf>
    <xf numFmtId="0" fontId="8" fillId="0" borderId="0" xfId="0" applyFont="1" applyAlignment="1">
      <alignment horizontal="left" vertical="center" indent="1"/>
    </xf>
    <xf numFmtId="0" fontId="7" fillId="0" borderId="0" xfId="0" applyFont="1" applyAlignment="1">
      <alignment horizontal="left" vertical="center" indent="2"/>
    </xf>
    <xf numFmtId="0" fontId="9" fillId="0" borderId="0" xfId="0" applyFont="1" applyAlignment="1">
      <alignment horizontal="left" vertical="center" indent="1"/>
    </xf>
    <xf numFmtId="6" fontId="0" fillId="0" borderId="0" xfId="0" applyNumberFormat="1" applyAlignment="1">
      <alignment wrapText="1"/>
    </xf>
    <xf numFmtId="0" fontId="0" fillId="0" borderId="9" xfId="0" applyBorder="1"/>
    <xf numFmtId="164" fontId="0" fillId="0" borderId="9" xfId="0" applyNumberFormat="1" applyBorder="1"/>
    <xf numFmtId="0" fontId="0" fillId="0" borderId="10" xfId="0" applyBorder="1"/>
    <xf numFmtId="0" fontId="0" fillId="2" borderId="0" xfId="0" applyFill="1" applyAlignment="1">
      <alignment horizontal="center" wrapText="1"/>
    </xf>
    <xf numFmtId="0" fontId="15" fillId="0" borderId="9" xfId="0" applyFont="1" applyBorder="1" applyAlignment="1">
      <alignment horizontal="center" vertical="top"/>
    </xf>
    <xf numFmtId="4" fontId="0" fillId="0" borderId="9" xfId="0" applyNumberFormat="1" applyBorder="1"/>
    <xf numFmtId="4" fontId="15" fillId="0" borderId="9" xfId="0" applyNumberFormat="1" applyFont="1" applyBorder="1"/>
    <xf numFmtId="0" fontId="0" fillId="0" borderId="9" xfId="0" applyBorder="1" applyAlignment="1">
      <alignment horizontal="left"/>
    </xf>
    <xf numFmtId="0" fontId="1" fillId="0" borderId="0" xfId="1"/>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4" xfId="0" applyFill="1" applyBorder="1" applyAlignment="1">
      <alignment horizontal="center" vertical="top" wrapText="1"/>
    </xf>
    <xf numFmtId="0" fontId="0" fillId="2" borderId="0" xfId="0" applyFill="1" applyAlignment="1">
      <alignment horizontal="center" vertical="top" wrapText="1"/>
    </xf>
    <xf numFmtId="0" fontId="0" fillId="2" borderId="5" xfId="0" applyFill="1" applyBorder="1" applyAlignment="1">
      <alignment horizontal="center" vertical="top" wrapText="1"/>
    </xf>
    <xf numFmtId="0" fontId="0" fillId="2" borderId="6" xfId="0" applyFill="1" applyBorder="1" applyAlignment="1">
      <alignment horizontal="center" vertical="top" wrapText="1"/>
    </xf>
    <xf numFmtId="0" fontId="0" fillId="2" borderId="7" xfId="0" applyFill="1" applyBorder="1" applyAlignment="1">
      <alignment horizontal="center" vertical="top" wrapText="1"/>
    </xf>
    <xf numFmtId="0" fontId="0" fillId="2" borderId="8" xfId="0" applyFill="1" applyBorder="1" applyAlignment="1">
      <alignment horizontal="center" vertical="top"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164" fontId="0" fillId="0" borderId="0" xfId="0" applyNumberFormat="1"/>
    <xf numFmtId="0" fontId="0" fillId="4" borderId="9" xfId="0" applyFill="1" applyBorder="1"/>
    <xf numFmtId="0" fontId="2" fillId="4" borderId="9" xfId="0" applyFont="1" applyFill="1" applyBorder="1"/>
    <xf numFmtId="0" fontId="0" fillId="0" borderId="9" xfId="0" applyBorder="1" applyAlignment="1">
      <alignment horizontal="center"/>
    </xf>
    <xf numFmtId="164" fontId="0" fillId="0" borderId="9" xfId="0" applyNumberFormat="1" applyBorder="1" applyAlignment="1">
      <alignment horizontal="center"/>
    </xf>
    <xf numFmtId="0" fontId="0" fillId="0" borderId="0" xfId="0" applyAlignment="1">
      <alignment horizontal="center"/>
    </xf>
    <xf numFmtId="3" fontId="0" fillId="0" borderId="9" xfId="0" applyNumberFormat="1" applyBorder="1" applyAlignment="1">
      <alignment horizontal="center"/>
    </xf>
    <xf numFmtId="0" fontId="0" fillId="2" borderId="0" xfId="0" applyFill="1" applyBorder="1" applyAlignment="1">
      <alignment horizontal="center" vertical="top" wrapText="1"/>
    </xf>
    <xf numFmtId="164" fontId="0" fillId="4" borderId="9" xfId="0" applyNumberFormat="1" applyFill="1" applyBorder="1"/>
    <xf numFmtId="0" fontId="5" fillId="0" borderId="12" xfId="0" applyFont="1" applyBorder="1" applyAlignment="1">
      <alignment horizontal="center"/>
    </xf>
    <xf numFmtId="164" fontId="0" fillId="0" borderId="12" xfId="0" applyNumberFormat="1" applyBorder="1"/>
    <xf numFmtId="0" fontId="8" fillId="0" borderId="12" xfId="0" applyFont="1" applyBorder="1" applyAlignment="1">
      <alignment vertical="center"/>
    </xf>
    <xf numFmtId="0" fontId="0" fillId="0" borderId="0" xfId="0" applyBorder="1" applyAlignment="1">
      <alignment horizontal="center"/>
    </xf>
    <xf numFmtId="0" fontId="0" fillId="0" borderId="0" xfId="0" applyBorder="1" applyAlignment="1"/>
    <xf numFmtId="0" fontId="0" fillId="4" borderId="0" xfId="0" applyFill="1"/>
    <xf numFmtId="43" fontId="0" fillId="0" borderId="13" xfId="0" applyNumberFormat="1" applyBorder="1"/>
    <xf numFmtId="43" fontId="0" fillId="0" borderId="9" xfId="0" applyNumberFormat="1" applyBorder="1"/>
    <xf numFmtId="43" fontId="14" fillId="0" borderId="0" xfId="0" applyNumberFormat="1" applyFont="1" applyBorder="1" applyAlignment="1">
      <alignment horizontal="center"/>
    </xf>
    <xf numFmtId="43" fontId="14" fillId="0" borderId="0" xfId="0" applyNumberFormat="1" applyFont="1" applyBorder="1" applyAlignment="1">
      <alignment horizontal="center"/>
    </xf>
    <xf numFmtId="0" fontId="14" fillId="0" borderId="0" xfId="0" applyFont="1" applyBorder="1" applyAlignment="1">
      <alignment horizontal="center"/>
    </xf>
    <xf numFmtId="0" fontId="17" fillId="0" borderId="0" xfId="0" applyFont="1" applyBorder="1" applyAlignment="1">
      <alignment horizontal="center"/>
    </xf>
    <xf numFmtId="0" fontId="17" fillId="0" borderId="5" xfId="0" applyFont="1" applyBorder="1" applyAlignment="1">
      <alignment horizontal="center"/>
    </xf>
    <xf numFmtId="0" fontId="17" fillId="0" borderId="0" xfId="0" applyFont="1"/>
    <xf numFmtId="0" fontId="14" fillId="0" borderId="5" xfId="0" applyFont="1" applyBorder="1" applyAlignment="1">
      <alignment horizontal="center"/>
    </xf>
    <xf numFmtId="0" fontId="14" fillId="0" borderId="0" xfId="0" applyFont="1" applyBorder="1" applyAlignment="1"/>
    <xf numFmtId="0" fontId="14" fillId="0" borderId="7" xfId="0" applyFont="1" applyBorder="1" applyAlignment="1">
      <alignment horizontal="center"/>
    </xf>
    <xf numFmtId="0" fontId="14" fillId="0" borderId="0" xfId="0" applyFont="1" applyAlignment="1">
      <alignment horizontal="center"/>
    </xf>
    <xf numFmtId="43" fontId="0" fillId="0" borderId="15" xfId="0" applyNumberFormat="1" applyBorder="1"/>
    <xf numFmtId="43" fontId="2" fillId="0" borderId="9" xfId="0" applyNumberFormat="1" applyFont="1" applyFill="1" applyBorder="1" applyAlignment="1">
      <alignment horizontal="center"/>
    </xf>
    <xf numFmtId="7" fontId="0" fillId="0" borderId="9" xfId="0" applyNumberFormat="1" applyFill="1" applyBorder="1" applyAlignment="1">
      <alignment horizontal="center"/>
    </xf>
    <xf numFmtId="43" fontId="2" fillId="0" borderId="9" xfId="0" applyNumberFormat="1" applyFont="1" applyFill="1" applyBorder="1"/>
    <xf numFmtId="43" fontId="2" fillId="0" borderId="9" xfId="0" applyNumberFormat="1" applyFont="1" applyFill="1" applyBorder="1" applyAlignment="1">
      <alignment horizontal="left" wrapText="1"/>
    </xf>
    <xf numFmtId="7" fontId="2" fillId="0" borderId="9" xfId="0" applyNumberFormat="1" applyFont="1" applyFill="1" applyBorder="1" applyAlignment="1">
      <alignment horizontal="center"/>
    </xf>
    <xf numFmtId="7" fontId="0" fillId="0" borderId="15" xfId="0" applyNumberFormat="1" applyFill="1" applyBorder="1" applyAlignment="1">
      <alignment horizontal="center"/>
    </xf>
    <xf numFmtId="43" fontId="2" fillId="0" borderId="9" xfId="0" applyNumberFormat="1" applyFont="1" applyFill="1" applyBorder="1" applyAlignment="1">
      <alignment vertical="top" wrapText="1"/>
    </xf>
    <xf numFmtId="43" fontId="2" fillId="0" borderId="9" xfId="0" applyNumberFormat="1" applyFont="1" applyFill="1" applyBorder="1" applyAlignment="1">
      <alignment wrapText="1"/>
    </xf>
    <xf numFmtId="43" fontId="2" fillId="0" borderId="13" xfId="0" applyNumberFormat="1" applyFont="1" applyFill="1" applyBorder="1"/>
    <xf numFmtId="43" fontId="2" fillId="0" borderId="15" xfId="0" applyNumberFormat="1" applyFont="1" applyFill="1" applyBorder="1"/>
    <xf numFmtId="43" fontId="14" fillId="0" borderId="9" xfId="0" applyNumberFormat="1" applyFont="1" applyFill="1" applyBorder="1" applyAlignment="1">
      <alignment horizontal="center"/>
    </xf>
    <xf numFmtId="0" fontId="0" fillId="0" borderId="9" xfId="0" applyFill="1" applyBorder="1"/>
    <xf numFmtId="0" fontId="2" fillId="0" borderId="9" xfId="0" applyFont="1" applyFill="1" applyBorder="1"/>
    <xf numFmtId="0" fontId="0" fillId="0" borderId="0" xfId="0" applyFill="1"/>
    <xf numFmtId="4" fontId="0" fillId="0" borderId="9" xfId="0" applyNumberFormat="1" applyFill="1" applyBorder="1"/>
    <xf numFmtId="44" fontId="0" fillId="0" borderId="9" xfId="0" applyNumberFormat="1" applyFill="1" applyBorder="1"/>
    <xf numFmtId="44" fontId="2" fillId="0" borderId="9" xfId="0" applyNumberFormat="1" applyFont="1" applyFill="1" applyBorder="1"/>
    <xf numFmtId="44" fontId="0" fillId="0" borderId="9" xfId="0" applyNumberFormat="1" applyFill="1" applyBorder="1" applyAlignment="1">
      <alignment horizontal="center"/>
    </xf>
    <xf numFmtId="44" fontId="0" fillId="0" borderId="9" xfId="0" applyNumberFormat="1" applyFill="1" applyBorder="1" applyAlignment="1">
      <alignment horizontal="left"/>
    </xf>
    <xf numFmtId="44" fontId="0" fillId="0" borderId="9" xfId="0" applyNumberFormat="1" applyFill="1" applyBorder="1" applyAlignment="1"/>
    <xf numFmtId="0" fontId="0" fillId="0" borderId="11" xfId="0" applyFill="1" applyBorder="1"/>
    <xf numFmtId="44" fontId="0" fillId="0" borderId="11" xfId="0" applyNumberFormat="1" applyFill="1" applyBorder="1"/>
    <xf numFmtId="44" fontId="0" fillId="0" borderId="11" xfId="0" applyNumberFormat="1" applyFill="1" applyBorder="1" applyAlignment="1"/>
    <xf numFmtId="0" fontId="0" fillId="0" borderId="13" xfId="0" applyFill="1" applyBorder="1"/>
    <xf numFmtId="44" fontId="2" fillId="0" borderId="15" xfId="0" applyNumberFormat="1" applyFont="1" applyFill="1" applyBorder="1"/>
    <xf numFmtId="44" fontId="0" fillId="0" borderId="15" xfId="0" applyNumberFormat="1" applyFill="1" applyBorder="1"/>
    <xf numFmtId="44" fontId="2" fillId="0" borderId="1" xfId="0" applyNumberFormat="1" applyFont="1" applyFill="1" applyBorder="1"/>
    <xf numFmtId="164" fontId="0" fillId="0" borderId="9" xfId="0" applyNumberFormat="1" applyFill="1" applyBorder="1"/>
    <xf numFmtId="7" fontId="0" fillId="0" borderId="9" xfId="0" applyNumberFormat="1" applyFill="1" applyBorder="1" applyAlignment="1">
      <alignment horizontal="left"/>
    </xf>
    <xf numFmtId="7" fontId="0" fillId="0" borderId="9" xfId="0" applyNumberFormat="1" applyFill="1" applyBorder="1"/>
    <xf numFmtId="7" fontId="2" fillId="0" borderId="9" xfId="0" applyNumberFormat="1" applyFont="1" applyFill="1" applyBorder="1" applyAlignment="1">
      <alignment horizontal="left"/>
    </xf>
    <xf numFmtId="7" fontId="0" fillId="0" borderId="9" xfId="0" applyNumberFormat="1" applyFill="1" applyBorder="1" applyAlignment="1">
      <alignment horizontal="right"/>
    </xf>
    <xf numFmtId="7" fontId="2" fillId="0" borderId="9" xfId="0" applyNumberFormat="1" applyFont="1" applyFill="1" applyBorder="1" applyAlignment="1">
      <alignment horizontal="right"/>
    </xf>
    <xf numFmtId="7" fontId="0" fillId="0" borderId="9" xfId="0" applyNumberFormat="1" applyFill="1" applyBorder="1" applyAlignment="1">
      <alignment horizontal="left"/>
    </xf>
    <xf numFmtId="7" fontId="16" fillId="0" borderId="9" xfId="0" applyNumberFormat="1" applyFont="1" applyFill="1" applyBorder="1"/>
    <xf numFmtId="0" fontId="0" fillId="0" borderId="8" xfId="0" applyFill="1" applyBorder="1"/>
    <xf numFmtId="0" fontId="0" fillId="0" borderId="3" xfId="0" applyFill="1" applyBorder="1"/>
    <xf numFmtId="0" fontId="0" fillId="0" borderId="15" xfId="0" applyFill="1" applyBorder="1"/>
    <xf numFmtId="0" fontId="0" fillId="0" borderId="1" xfId="0" applyFill="1" applyBorder="1"/>
    <xf numFmtId="0" fontId="4" fillId="0" borderId="9" xfId="0" applyFont="1" applyFill="1" applyBorder="1"/>
    <xf numFmtId="7" fontId="0" fillId="0" borderId="0" xfId="0" applyNumberFormat="1" applyFill="1"/>
    <xf numFmtId="7" fontId="2" fillId="0" borderId="9" xfId="0" applyNumberFormat="1" applyFont="1" applyFill="1" applyBorder="1"/>
    <xf numFmtId="7" fontId="0" fillId="0" borderId="9" xfId="0" applyNumberFormat="1" applyFill="1" applyBorder="1" applyAlignment="1">
      <alignment horizontal="center"/>
    </xf>
    <xf numFmtId="0" fontId="4" fillId="0" borderId="8" xfId="0" applyFont="1" applyFill="1" applyBorder="1"/>
    <xf numFmtId="0" fontId="4" fillId="0" borderId="13" xfId="0" applyFont="1" applyFill="1" applyBorder="1"/>
    <xf numFmtId="0" fontId="4" fillId="0" borderId="6" xfId="0" applyFont="1" applyFill="1" applyBorder="1"/>
    <xf numFmtId="0" fontId="4" fillId="0" borderId="3" xfId="0" applyFont="1" applyFill="1" applyBorder="1"/>
    <xf numFmtId="0" fontId="4" fillId="0" borderId="15" xfId="0" applyFont="1" applyFill="1" applyBorder="1"/>
    <xf numFmtId="0" fontId="4" fillId="0" borderId="1" xfId="0" applyFont="1" applyFill="1" applyBorder="1"/>
    <xf numFmtId="0" fontId="2" fillId="0" borderId="9" xfId="0" applyFont="1" applyFill="1" applyBorder="1" applyAlignment="1">
      <alignment wrapText="1"/>
    </xf>
    <xf numFmtId="0" fontId="0" fillId="0" borderId="9" xfId="0" applyFill="1" applyBorder="1" applyAlignment="1">
      <alignment wrapText="1"/>
    </xf>
    <xf numFmtId="0" fontId="14" fillId="0" borderId="9" xfId="0" applyFont="1" applyFill="1" applyBorder="1" applyAlignment="1">
      <alignment wrapText="1"/>
    </xf>
    <xf numFmtId="0" fontId="0" fillId="0" borderId="9" xfId="0" applyFill="1" applyBorder="1" applyAlignment="1"/>
    <xf numFmtId="0" fontId="0" fillId="5" borderId="9" xfId="0" applyFill="1" applyBorder="1" applyAlignment="1">
      <alignment wrapText="1"/>
    </xf>
    <xf numFmtId="0" fontId="5" fillId="5" borderId="9" xfId="0" applyFont="1" applyFill="1" applyBorder="1" applyAlignment="1">
      <alignment horizontal="center"/>
    </xf>
    <xf numFmtId="0" fontId="0" fillId="5" borderId="9" xfId="0" applyFill="1" applyBorder="1"/>
    <xf numFmtId="164" fontId="2" fillId="4" borderId="9" xfId="0" applyNumberFormat="1" applyFont="1" applyFill="1" applyBorder="1"/>
    <xf numFmtId="0" fontId="0" fillId="4" borderId="9" xfId="0" applyFill="1" applyBorder="1" applyAlignment="1">
      <alignment horizontal="left" wrapText="1"/>
    </xf>
    <xf numFmtId="0" fontId="0" fillId="4" borderId="9" xfId="0" applyFont="1" applyFill="1" applyBorder="1"/>
    <xf numFmtId="164" fontId="2" fillId="4" borderId="14" xfId="0" applyNumberFormat="1" applyFont="1" applyFill="1" applyBorder="1"/>
    <xf numFmtId="0" fontId="0" fillId="6" borderId="9" xfId="0" applyFill="1" applyBorder="1"/>
    <xf numFmtId="0" fontId="2" fillId="6" borderId="9" xfId="0" applyFont="1" applyFill="1" applyBorder="1"/>
    <xf numFmtId="164" fontId="0" fillId="6" borderId="9" xfId="0" applyNumberFormat="1" applyFill="1" applyBorder="1"/>
    <xf numFmtId="164" fontId="2" fillId="0" borderId="9" xfId="0" applyNumberFormat="1" applyFont="1" applyFill="1" applyBorder="1"/>
    <xf numFmtId="44" fontId="0" fillId="6" borderId="9" xfId="0" applyNumberFormat="1" applyFill="1" applyBorder="1"/>
  </cellXfs>
  <cellStyles count="2">
    <cellStyle name="Normal" xfId="0" builtinId="0"/>
    <cellStyle name="Normal 2" xfId="1" xr:uid="{91FC60DF-A777-468C-8496-E478D57807F0}"/>
  </cellStyles>
  <dxfs count="61">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rgb="FF000000"/>
        <name val="Calibri"/>
        <family val="2"/>
        <scheme val="minor"/>
      </font>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ill>
        <patternFill patternType="none">
          <fgColor indexed="64"/>
          <bgColor indexed="65"/>
        </patternFill>
      </fill>
    </dxf>
    <dxf>
      <fill>
        <patternFill patternType="none">
          <fgColor indexed="64"/>
          <bgColor indexed="65"/>
        </patternFill>
      </fill>
      <border diagonalUp="0" diagonalDown="0">
        <left style="thin">
          <color indexed="64"/>
        </left>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style="thin">
          <color indexed="64"/>
        </left>
        <right style="thin">
          <color indexed="64"/>
        </right>
        <top style="thin">
          <color indexed="64"/>
        </top>
        <bottom/>
        <vertical/>
        <horizontal/>
      </border>
    </dxf>
    <dxf>
      <fill>
        <patternFill patternType="none">
          <fgColor indexed="64"/>
          <bgColor indexed="65"/>
        </patternFill>
      </fill>
      <border diagonalUp="0" diagonalDown="0">
        <left/>
        <right style="thin">
          <color indexed="64"/>
        </right>
        <top style="thin">
          <color indexed="64"/>
        </top>
        <bottom/>
        <vertical/>
        <horizontal/>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bottom/>
      </border>
    </dxf>
    <dxf>
      <fill>
        <patternFill patternType="none">
          <fgColor indexed="64"/>
          <bgColor indexed="65"/>
        </patternFill>
      </fill>
    </dxf>
    <dxf>
      <numFmt numFmtId="34" formatCode="_(&quot;$&quot;* #,##0.00_);_(&quot;$&quot;* \(#,##0.00\);_(&quot;$&quot;* &quot;-&quot;??_);_(@_)"/>
      <fill>
        <patternFill patternType="none">
          <fgColor indexed="64"/>
          <bgColor indexed="65"/>
        </patternFill>
      </fill>
      <border diagonalUp="0" diagonalDown="0">
        <left style="thin">
          <color indexed="64"/>
        </left>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theme="1"/>
        <name val="Calibri"/>
        <family val="2"/>
        <scheme val="minor"/>
      </font>
      <numFmt numFmtId="34" formatCode="_(&quot;$&quot;* #,##0.00_);_(&quot;$&quot;* \(#,##0.00\);_(&quot;$&quot;* &quot;-&quot;??_);_(@_)"/>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right style="thin">
          <color indexed="64"/>
        </right>
        <top style="thin">
          <color indexed="64"/>
        </top>
        <bottom style="thin">
          <color indexed="64"/>
        </bottom>
      </border>
    </dxf>
    <dxf>
      <numFmt numFmtId="11" formatCode="&quot;$&quot;#,##0.00_);\(&quot;$&quot;#,##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35" formatCode="_(* #,##0.00_);_(* \(#,##0.00\);_(* &quot;-&quot;??_);_(@_)"/>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Calibri"/>
        <family val="2"/>
        <scheme val="minor"/>
      </font>
      <numFmt numFmtId="35" formatCode="_(* #,##0.00_);_(* \(#,##0.00\);_(* &quot;-&quot;??_);_(@_)"/>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strike val="0"/>
        <condense val="0"/>
        <extend val="0"/>
        <outline val="0"/>
        <shadow val="0"/>
        <u val="none"/>
        <vertAlign val="baseline"/>
        <sz val="12"/>
        <color theme="1"/>
        <name val="Calibri"/>
        <family val="2"/>
        <scheme val="minor"/>
      </font>
      <numFmt numFmtId="35" formatCode="_(* #,##0.00_);_(* \(#,##0.00\);_(* &quot;-&quot;??_);_(@_)"/>
      <alignment horizontal="center" vertical="bottom" textRotation="0" wrapText="0" indent="0" justifyLastLine="0" shrinkToFit="0" readingOrder="0"/>
    </dxf>
    <dxf>
      <border outline="0">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59756D4-3BCC-4867-B544-4EA80C18ECEB}" name="Tabla2" displayName="Tabla2" ref="A4:C33" totalsRowShown="0" headerRowDxfId="59" tableBorderDxfId="60">
  <autoFilter ref="A4:C33" xr:uid="{659756D4-3BCC-4867-B544-4EA80C18ECEB}"/>
  <tableColumns count="3">
    <tableColumn id="1" xr3:uid="{68CC9F87-1806-4C74-B4DE-3FD8C26B166B}" name="Item Description " dataDxfId="58"/>
    <tableColumn id="2" xr3:uid="{09478970-A165-4467-B5DE-8E0DDCFDE940}" name="Cost " dataDxfId="56"/>
    <tableColumn id="3" xr3:uid="{39343CE2-5D6C-4154-A9C9-ED49D117CB4B}" name="Columna2" dataDxfId="5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B121B8-F6A9-4A41-9C4A-EE53E2D15CA5}" name="Tabla3" displayName="Tabla3" ref="A8:N33" totalsRowShown="0" headerRowDxfId="38" dataDxfId="39" headerRowBorderDxfId="54" tableBorderDxfId="55">
  <autoFilter ref="A8:N33" xr:uid="{C4B121B8-F6A9-4A41-9C4A-EE53E2D15CA5}"/>
  <tableColumns count="14">
    <tableColumn id="1" xr3:uid="{5301BBF6-C608-49C3-B4F6-7214F75D1BE8}" name="Columna1" dataDxfId="53"/>
    <tableColumn id="2" xr3:uid="{B00A79D3-39F5-46F4-BB22-283036FC354B}" name="month 1 " dataDxfId="52"/>
    <tableColumn id="3" xr3:uid="{AE1717B2-EBAE-4604-A74D-730CA6677FC7}" name="Month 2 " dataDxfId="51"/>
    <tableColumn id="4" xr3:uid="{03905D7A-4B0E-4DA0-AC2C-7B72351F3387}" name="Month 3" dataDxfId="50"/>
    <tableColumn id="5" xr3:uid="{7C97EAEC-2A68-40C4-A0C4-0D74B0441019}" name="Month 4" dataDxfId="49"/>
    <tableColumn id="6" xr3:uid="{763BCAE3-D52D-4D57-B731-BDC85A6A2090}" name="Month 5" dataDxfId="48"/>
    <tableColumn id="7" xr3:uid="{BBEE5345-CCED-44E8-9D27-9E6E870F59B7}" name="Month 6" dataDxfId="47"/>
    <tableColumn id="8" xr3:uid="{70F1FBC7-983F-46F1-B606-48D5BC8A614E}" name="Month 7" dataDxfId="46"/>
    <tableColumn id="9" xr3:uid="{1E4D7C73-6803-490B-ABF3-F4BB6F9D0C0A}" name="Month 8" dataDxfId="45"/>
    <tableColumn id="10" xr3:uid="{514D053B-32C7-4A01-B7B1-5925623CE999}" name="Month 9" dataDxfId="44"/>
    <tableColumn id="11" xr3:uid="{31077D94-C9D5-450A-82E5-DCAF174EC4BD}" name="Month 10" dataDxfId="43"/>
    <tableColumn id="12" xr3:uid="{C5E13640-7B2F-4BB5-BAC4-024350E14FE5}" name="Month 11" dataDxfId="42"/>
    <tableColumn id="13" xr3:uid="{F05E9EE5-2F8C-42B4-A7A8-DF8203FE379A}" name="Month 12" dataDxfId="41"/>
    <tableColumn id="14" xr3:uid="{12436274-B557-4397-A5B0-15C5A9B7006F}" name="Total" dataDxfId="40"/>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8931B7-3D38-4EBE-8F9D-C85E97C0CF27}" name="Tabla4" displayName="Tabla4" ref="A7:N8" totalsRowShown="0" headerRowDxfId="19" dataDxfId="20" headerRowBorderDxfId="36" tableBorderDxfId="37" totalsRowBorderDxfId="35">
  <autoFilter ref="A7:N8" xr:uid="{F18931B7-3D38-4EBE-8F9D-C85E97C0CF27}"/>
  <tableColumns count="14">
    <tableColumn id="1" xr3:uid="{4CD7D9EB-2455-4458-BBC0-0EF57FF4E48F}" name="Columna1" dataDxfId="34"/>
    <tableColumn id="2" xr3:uid="{10C63F09-94E6-4332-B5E2-F7E08BC712DD}" name="Month 1 " dataDxfId="33"/>
    <tableColumn id="3" xr3:uid="{6AE47913-4E4E-48FA-BF22-A1CD320318DE}" name="Month 2" dataDxfId="32"/>
    <tableColumn id="4" xr3:uid="{48834592-5971-4AD9-B0A9-BE16C1EAC224}" name="Month 3" dataDxfId="31"/>
    <tableColumn id="5" xr3:uid="{E3B4CF25-7BE4-4EDB-A0D7-60D7EC898AED}" name="Month 4" dataDxfId="30"/>
    <tableColumn id="6" xr3:uid="{DB6668C4-3ACA-423B-AC6C-258DA93D10DC}" name="Month 5" dataDxfId="29"/>
    <tableColumn id="7" xr3:uid="{BD8D4324-D0A9-4DC1-94AA-D3BC15623394}" name="Month 6" dataDxfId="28"/>
    <tableColumn id="8" xr3:uid="{2A8DE1BC-D106-4FE9-8E61-CA8F58835CE9}" name="Month 7" dataDxfId="27"/>
    <tableColumn id="9" xr3:uid="{85356936-E714-4299-8947-029DB32405D5}" name="Month 8" dataDxfId="26"/>
    <tableColumn id="10" xr3:uid="{76FB6374-7D1F-44E7-A225-AF59C140C90B}" name="Month 9" dataDxfId="25"/>
    <tableColumn id="11" xr3:uid="{36B83971-E05F-4103-AF96-8D17752535C7}" name="Month 10" dataDxfId="24"/>
    <tableColumn id="12" xr3:uid="{5CD47877-92AB-41CB-8E17-095F36B0B9BF}" name="Month 11" dataDxfId="23"/>
    <tableColumn id="13" xr3:uid="{4D12EB37-83C1-43CD-9516-6778E03D7D44}" name="Month 12" dataDxfId="22"/>
    <tableColumn id="14" xr3:uid="{C6DB4D79-B57D-4CA7-928F-25632C3ADFCA}" name="Total " dataDxfId="2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12E015-5131-44B7-9CE0-67B0DBB48908}" name="Tabla5" displayName="Tabla5" ref="A6:N7" insertRow="1" insertRowShift="1" totalsRowShown="0" headerRowDxfId="0" dataDxfId="1" headerRowBorderDxfId="17" tableBorderDxfId="18" totalsRowBorderDxfId="16">
  <autoFilter ref="A6:N7" xr:uid="{6812E015-5131-44B7-9CE0-67B0DBB48908}"/>
  <tableColumns count="14">
    <tableColumn id="1" xr3:uid="{3DD710CA-3DE4-4156-B861-874EB779D87F}" name="Columna1" dataDxfId="15"/>
    <tableColumn id="2" xr3:uid="{78BB2696-726B-4CE9-A429-FBF221150BC8}" name="Month 1 " dataDxfId="14"/>
    <tableColumn id="3" xr3:uid="{24EF5EDD-969B-445E-88D9-63263ADFE72E}" name="Month 2 " dataDxfId="13"/>
    <tableColumn id="4" xr3:uid="{9AC49048-E9E2-4DA5-9250-909245A91B76}" name="Month 3" dataDxfId="12"/>
    <tableColumn id="5" xr3:uid="{EC24A555-43D4-4700-B70E-2E28116BE6EA}" name="Month 4" dataDxfId="11"/>
    <tableColumn id="6" xr3:uid="{DAF2857C-B10C-466D-9A2B-09771F8E9D64}" name="Month 5" dataDxfId="10"/>
    <tableColumn id="7" xr3:uid="{0C0D06C0-0F52-49DE-95F6-A3A22013C55C}" name="Month 6" dataDxfId="9"/>
    <tableColumn id="8" xr3:uid="{2DF3041A-66D5-4EBF-8C25-7AADCBD22F91}" name="Month 7" dataDxfId="8"/>
    <tableColumn id="9" xr3:uid="{9B587C87-BDB6-4592-8089-A7F0629A3EAC}" name="Month 8" dataDxfId="7"/>
    <tableColumn id="10" xr3:uid="{1BA239C4-D368-409D-8157-E1B771FF3772}" name="Month 9" dataDxfId="6"/>
    <tableColumn id="11" xr3:uid="{49B6E0D4-52D4-468B-ADD6-A6DFC768B012}" name="Month 10" dataDxfId="5"/>
    <tableColumn id="12" xr3:uid="{30CA31CB-75A4-4C71-AD36-7BD63A3EF5DC}" name="Month 11" dataDxfId="4"/>
    <tableColumn id="13" xr3:uid="{E294E41C-8005-4FB6-82C6-CFFE893BC661}" name="Month 12" dataDxfId="3"/>
    <tableColumn id="14" xr3:uid="{A4B29696-8052-4571-8358-A7AAAB4C56D7}" name="Annual Total " dataDxfId="2"/>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DB790-EBE9-6E4F-99D1-F8AE6AB93EB1}">
  <dimension ref="A1:Q47"/>
  <sheetViews>
    <sheetView tabSelected="1" zoomScale="98" zoomScaleNormal="98" workbookViewId="0">
      <selection activeCell="M24" sqref="M24"/>
    </sheetView>
  </sheetViews>
  <sheetFormatPr baseColWidth="10" defaultRowHeight="15.6"/>
  <cols>
    <col min="1" max="1" width="50.09765625" customWidth="1"/>
    <col min="2" max="2" width="17.09765625" customWidth="1"/>
    <col min="3" max="9" width="0" hidden="1" customWidth="1"/>
  </cols>
  <sheetData>
    <row r="1" spans="1:17">
      <c r="A1" s="58" t="s">
        <v>168</v>
      </c>
      <c r="B1" s="58"/>
      <c r="C1" s="54"/>
      <c r="D1" s="54"/>
      <c r="E1" s="54"/>
      <c r="F1" s="54"/>
      <c r="G1" s="54"/>
      <c r="H1" s="54"/>
      <c r="I1" s="54"/>
      <c r="J1" s="54"/>
      <c r="K1" s="54"/>
      <c r="L1" s="54"/>
      <c r="M1" s="54"/>
    </row>
    <row r="2" spans="1:17">
      <c r="A2" s="58" t="s">
        <v>19</v>
      </c>
      <c r="B2" s="58"/>
      <c r="C2" s="58"/>
    </row>
    <row r="3" spans="1:17">
      <c r="A3" s="58" t="s">
        <v>27</v>
      </c>
      <c r="B3" s="58"/>
    </row>
    <row r="4" spans="1:17">
      <c r="A4" s="79" t="s">
        <v>21</v>
      </c>
      <c r="B4" s="59" t="s">
        <v>20</v>
      </c>
      <c r="C4" s="59" t="s">
        <v>180</v>
      </c>
    </row>
    <row r="5" spans="1:17">
      <c r="A5" s="77" t="s">
        <v>100</v>
      </c>
      <c r="B5" s="69" t="s">
        <v>20</v>
      </c>
      <c r="C5" s="56"/>
      <c r="D5" s="29" t="s">
        <v>28</v>
      </c>
      <c r="E5" s="29"/>
      <c r="F5" s="29"/>
      <c r="G5" s="29"/>
      <c r="H5" s="30"/>
    </row>
    <row r="6" spans="1:17" ht="16.05" customHeight="1">
      <c r="A6" s="71" t="s">
        <v>101</v>
      </c>
      <c r="B6" s="70"/>
      <c r="C6" s="57"/>
      <c r="D6" s="48"/>
      <c r="E6" s="32"/>
      <c r="F6" s="32"/>
      <c r="G6" s="32"/>
      <c r="H6" s="33"/>
      <c r="I6" s="1"/>
      <c r="J6" s="1"/>
    </row>
    <row r="7" spans="1:17">
      <c r="A7" s="71" t="s">
        <v>102</v>
      </c>
      <c r="B7" s="70">
        <v>800</v>
      </c>
      <c r="C7" s="57"/>
      <c r="D7" s="35"/>
      <c r="E7" s="35"/>
      <c r="F7" s="35"/>
      <c r="G7" s="35"/>
      <c r="H7" s="36"/>
      <c r="I7" s="1"/>
      <c r="J7" s="1"/>
    </row>
    <row r="8" spans="1:17">
      <c r="A8" s="71"/>
      <c r="B8" s="70">
        <v>125</v>
      </c>
      <c r="C8" s="57"/>
      <c r="I8" s="1"/>
      <c r="J8" s="1"/>
    </row>
    <row r="9" spans="1:17" hidden="1">
      <c r="A9" s="71"/>
      <c r="B9" s="70"/>
      <c r="C9" s="57"/>
      <c r="I9" s="1"/>
      <c r="J9" s="1"/>
    </row>
    <row r="10" spans="1:17" hidden="1">
      <c r="A10" s="71" t="s">
        <v>82</v>
      </c>
      <c r="B10" s="70"/>
      <c r="C10" s="57"/>
      <c r="G10" s="1"/>
      <c r="H10" s="1"/>
      <c r="I10" s="1"/>
      <c r="J10" s="1"/>
    </row>
    <row r="11" spans="1:17">
      <c r="A11" s="72" t="s">
        <v>103</v>
      </c>
      <c r="B11" s="70"/>
      <c r="C11" s="57"/>
      <c r="I11" s="1"/>
      <c r="P11" s="1"/>
      <c r="Q11" s="1"/>
    </row>
    <row r="12" spans="1:17">
      <c r="A12" s="71" t="s">
        <v>104</v>
      </c>
      <c r="B12" s="70"/>
      <c r="C12" s="57"/>
      <c r="D12" s="37" t="s">
        <v>31</v>
      </c>
      <c r="E12" s="37"/>
      <c r="F12" s="37"/>
      <c r="G12" s="37"/>
      <c r="H12" s="38"/>
      <c r="I12" s="1"/>
      <c r="P12" s="1"/>
      <c r="Q12" s="1"/>
    </row>
    <row r="13" spans="1:17">
      <c r="A13" s="72" t="s">
        <v>105</v>
      </c>
      <c r="B13" s="70">
        <v>100</v>
      </c>
      <c r="C13" s="57"/>
      <c r="D13" s="39"/>
      <c r="E13" s="39"/>
      <c r="F13" s="39"/>
      <c r="G13" s="39"/>
      <c r="H13" s="40"/>
      <c r="I13" s="1"/>
    </row>
    <row r="14" spans="1:17">
      <c r="A14" s="72" t="s">
        <v>106</v>
      </c>
      <c r="B14" s="70">
        <v>300</v>
      </c>
      <c r="C14" s="57"/>
      <c r="D14" s="23"/>
      <c r="E14" s="23"/>
      <c r="F14" s="23"/>
      <c r="G14" s="23"/>
      <c r="H14" s="23"/>
      <c r="I14" s="1"/>
    </row>
    <row r="15" spans="1:17">
      <c r="A15" s="72" t="s">
        <v>107</v>
      </c>
      <c r="B15" s="70">
        <v>80</v>
      </c>
      <c r="C15" s="57"/>
      <c r="D15" s="23"/>
      <c r="E15" s="23"/>
      <c r="F15" s="23"/>
      <c r="G15" s="23"/>
      <c r="H15" s="23"/>
      <c r="I15" s="1"/>
    </row>
    <row r="16" spans="1:17">
      <c r="A16" s="72" t="s">
        <v>108</v>
      </c>
      <c r="B16" s="70">
        <v>300</v>
      </c>
      <c r="C16" s="57"/>
      <c r="D16" s="23"/>
      <c r="E16" s="23"/>
      <c r="F16" s="23"/>
      <c r="G16" s="23"/>
      <c r="H16" s="23"/>
      <c r="I16" s="1"/>
    </row>
    <row r="17" spans="1:9">
      <c r="A17" s="72" t="s">
        <v>109</v>
      </c>
      <c r="B17" s="70">
        <v>20</v>
      </c>
      <c r="C17" s="57"/>
      <c r="D17" s="23"/>
      <c r="E17" s="23"/>
      <c r="F17" s="23"/>
      <c r="G17" s="23"/>
      <c r="H17" s="23"/>
      <c r="I17" s="1"/>
    </row>
    <row r="18" spans="1:9">
      <c r="A18" s="72" t="s">
        <v>110</v>
      </c>
      <c r="B18" s="70">
        <v>300</v>
      </c>
      <c r="C18" s="57"/>
      <c r="D18" s="23"/>
      <c r="E18" s="23"/>
      <c r="F18" s="23"/>
      <c r="G18" s="23"/>
      <c r="H18" s="23"/>
      <c r="I18" s="1"/>
    </row>
    <row r="19" spans="1:9">
      <c r="A19" s="72" t="s">
        <v>114</v>
      </c>
      <c r="B19" s="70">
        <v>250</v>
      </c>
      <c r="C19" s="57"/>
      <c r="D19" s="23"/>
      <c r="E19" s="23"/>
      <c r="F19" s="23"/>
      <c r="G19" s="23"/>
      <c r="H19" s="23"/>
      <c r="I19" s="1"/>
    </row>
    <row r="20" spans="1:9">
      <c r="A20" s="72" t="s">
        <v>111</v>
      </c>
      <c r="B20" s="70"/>
      <c r="C20" s="57"/>
      <c r="D20" s="23"/>
      <c r="E20" s="23"/>
      <c r="F20" s="23"/>
      <c r="G20" s="23"/>
      <c r="H20" s="23"/>
      <c r="I20" s="1"/>
    </row>
    <row r="21" spans="1:9">
      <c r="A21" s="72" t="s">
        <v>112</v>
      </c>
      <c r="B21" s="70">
        <v>300</v>
      </c>
      <c r="C21" s="57"/>
      <c r="D21" s="23"/>
      <c r="E21" s="23"/>
      <c r="F21" s="23"/>
      <c r="G21" s="23"/>
      <c r="H21" s="23"/>
      <c r="I21" s="1"/>
    </row>
    <row r="22" spans="1:9">
      <c r="A22" s="72" t="s">
        <v>115</v>
      </c>
      <c r="B22" s="70">
        <v>250</v>
      </c>
      <c r="C22" s="57"/>
      <c r="D22" s="23"/>
      <c r="E22" s="23"/>
      <c r="F22" s="23"/>
      <c r="G22" s="23"/>
      <c r="H22" s="23"/>
      <c r="I22" s="1"/>
    </row>
    <row r="23" spans="1:9">
      <c r="A23" s="72" t="s">
        <v>113</v>
      </c>
      <c r="B23" s="70">
        <v>200</v>
      </c>
      <c r="C23" s="57"/>
      <c r="D23" s="23"/>
      <c r="E23" s="23"/>
      <c r="F23" s="23"/>
      <c r="G23" s="23"/>
      <c r="H23" s="23"/>
      <c r="I23" s="1"/>
    </row>
    <row r="24" spans="1:9" ht="46.8">
      <c r="A24" s="75" t="s">
        <v>116</v>
      </c>
      <c r="B24" s="70">
        <v>350</v>
      </c>
      <c r="C24" s="57"/>
      <c r="D24" s="23"/>
      <c r="E24" s="23"/>
      <c r="F24" s="23"/>
      <c r="G24" s="23"/>
      <c r="H24" s="23"/>
      <c r="I24" s="1"/>
    </row>
    <row r="25" spans="1:9" ht="31.2">
      <c r="A25" s="76" t="s">
        <v>83</v>
      </c>
      <c r="B25" s="70">
        <v>1500</v>
      </c>
      <c r="C25" s="57"/>
      <c r="D25" s="2"/>
      <c r="E25" s="2"/>
      <c r="F25" s="2"/>
      <c r="G25" s="2"/>
      <c r="H25" s="2"/>
      <c r="I25" s="1"/>
    </row>
    <row r="26" spans="1:9">
      <c r="A26" s="76" t="s">
        <v>84</v>
      </c>
      <c r="B26" s="70">
        <v>500</v>
      </c>
      <c r="C26" s="57"/>
      <c r="D26" s="19"/>
      <c r="E26" s="2"/>
      <c r="F26" s="2"/>
      <c r="G26" s="2"/>
      <c r="H26" s="2"/>
    </row>
    <row r="27" spans="1:9" ht="37.799999999999997" customHeight="1">
      <c r="A27" s="76" t="s">
        <v>26</v>
      </c>
      <c r="B27" s="70">
        <v>700</v>
      </c>
      <c r="C27" s="57"/>
    </row>
    <row r="28" spans="1:9" ht="37.799999999999997" customHeight="1">
      <c r="A28" s="71" t="s">
        <v>32</v>
      </c>
      <c r="B28" s="70">
        <f>SUM(B7:B27)</f>
        <v>6075</v>
      </c>
      <c r="C28" s="57"/>
    </row>
    <row r="29" spans="1:9">
      <c r="A29" s="71"/>
      <c r="B29" s="73">
        <f>B28</f>
        <v>6075</v>
      </c>
      <c r="C29" s="57"/>
    </row>
    <row r="30" spans="1:9">
      <c r="A30" s="71" t="s">
        <v>29</v>
      </c>
      <c r="B30" s="70"/>
      <c r="C30" s="57"/>
    </row>
    <row r="31" spans="1:9">
      <c r="A31" s="71" t="s">
        <v>22</v>
      </c>
      <c r="B31" s="70"/>
      <c r="C31" s="57"/>
      <c r="D31" s="29" t="s">
        <v>30</v>
      </c>
      <c r="E31" s="29"/>
      <c r="F31" s="29"/>
      <c r="G31" s="29"/>
      <c r="H31" s="30"/>
    </row>
    <row r="32" spans="1:9" ht="16.05" customHeight="1">
      <c r="A32" s="71" t="s">
        <v>23</v>
      </c>
      <c r="B32" s="73">
        <v>3000</v>
      </c>
      <c r="C32" s="57"/>
      <c r="D32" s="48"/>
      <c r="E32" s="32"/>
      <c r="F32" s="32"/>
      <c r="G32" s="32"/>
      <c r="H32" s="33"/>
    </row>
    <row r="33" spans="1:8" ht="18" customHeight="1">
      <c r="A33" s="78"/>
      <c r="B33" s="74">
        <f>B29-B32</f>
        <v>3075</v>
      </c>
      <c r="C33" s="68"/>
      <c r="D33" s="48"/>
      <c r="E33" s="32"/>
      <c r="F33" s="32"/>
      <c r="G33" s="32"/>
      <c r="H33" s="33"/>
    </row>
    <row r="34" spans="1:8" hidden="1">
      <c r="A34" t="s">
        <v>24</v>
      </c>
      <c r="D34" s="31"/>
      <c r="E34" s="32"/>
      <c r="F34" s="32"/>
      <c r="G34" s="32"/>
      <c r="H34" s="33"/>
    </row>
    <row r="35" spans="1:8" hidden="1">
      <c r="A35" t="s">
        <v>25</v>
      </c>
      <c r="D35" s="34"/>
      <c r="E35" s="35"/>
      <c r="F35" s="35"/>
      <c r="G35" s="35"/>
      <c r="H35" s="36"/>
    </row>
    <row r="38" spans="1:8" hidden="1"/>
    <row r="39" spans="1:8" hidden="1"/>
    <row r="40" spans="1:8" hidden="1">
      <c r="A40" s="20" t="s">
        <v>136</v>
      </c>
    </row>
    <row r="41" spans="1:8" hidden="1">
      <c r="A41" s="27" t="s">
        <v>160</v>
      </c>
      <c r="B41" s="44">
        <f>B33*0.01</f>
        <v>30.75</v>
      </c>
      <c r="C41" s="46"/>
      <c r="D41" s="46"/>
    </row>
    <row r="42" spans="1:8" hidden="1">
      <c r="A42" s="20" t="s">
        <v>156</v>
      </c>
      <c r="B42" s="45">
        <f>B33/36</f>
        <v>85.416666666666671</v>
      </c>
    </row>
    <row r="43" spans="1:8" hidden="1">
      <c r="A43" s="20" t="s">
        <v>157</v>
      </c>
      <c r="B43" s="44">
        <f>B42*12</f>
        <v>1025</v>
      </c>
    </row>
    <row r="44" spans="1:8" hidden="1">
      <c r="A44" s="20" t="s">
        <v>158</v>
      </c>
      <c r="B44" s="44">
        <v>1025</v>
      </c>
    </row>
    <row r="45" spans="1:8" hidden="1">
      <c r="A45" s="20" t="s">
        <v>159</v>
      </c>
      <c r="B45" s="47">
        <v>1025</v>
      </c>
    </row>
    <row r="46" spans="1:8" hidden="1"/>
    <row r="47" spans="1:8" hidden="1"/>
  </sheetData>
  <mergeCells count="6">
    <mergeCell ref="A1:B1"/>
    <mergeCell ref="A3:B3"/>
    <mergeCell ref="D31:H35"/>
    <mergeCell ref="D5:H7"/>
    <mergeCell ref="D12:H13"/>
    <mergeCell ref="A2:C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F6A47A-C8F6-8845-8E07-0C42F635DB59}">
  <dimension ref="A1:Q49"/>
  <sheetViews>
    <sheetView workbookViewId="0">
      <selection activeCell="C57" sqref="C57"/>
    </sheetView>
  </sheetViews>
  <sheetFormatPr baseColWidth="10" defaultRowHeight="15.6"/>
  <cols>
    <col min="1" max="1" width="22.296875" customWidth="1"/>
    <col min="10" max="13" width="11.796875" customWidth="1"/>
    <col min="14" max="14" width="12" bestFit="1" customWidth="1"/>
    <col min="15" max="17" width="0" hidden="1" customWidth="1"/>
  </cols>
  <sheetData>
    <row r="1" spans="1:16">
      <c r="A1" s="60" t="s">
        <v>168</v>
      </c>
      <c r="B1" s="60"/>
      <c r="C1" s="60"/>
      <c r="D1" s="60"/>
      <c r="E1" s="60"/>
      <c r="F1" s="60"/>
      <c r="G1" s="60"/>
      <c r="H1" s="60"/>
      <c r="I1" s="60"/>
      <c r="J1" s="60"/>
      <c r="K1" s="60"/>
      <c r="L1" s="60"/>
      <c r="M1" s="60"/>
    </row>
    <row r="2" spans="1:16">
      <c r="A2" s="60" t="s">
        <v>175</v>
      </c>
      <c r="B2" s="60"/>
      <c r="C2" s="60"/>
      <c r="D2" s="60"/>
      <c r="E2" s="60"/>
      <c r="F2" s="60"/>
      <c r="G2" s="60"/>
      <c r="H2" s="60"/>
      <c r="I2" s="60"/>
      <c r="J2" s="60"/>
      <c r="K2" s="60"/>
      <c r="L2" s="60"/>
      <c r="M2" s="60"/>
    </row>
    <row r="3" spans="1:16">
      <c r="A3" s="60" t="s">
        <v>172</v>
      </c>
      <c r="B3" s="60"/>
      <c r="C3" s="60"/>
      <c r="D3" s="60"/>
      <c r="E3" s="60"/>
      <c r="F3" s="60"/>
      <c r="G3" s="60"/>
      <c r="H3" s="60"/>
      <c r="I3" s="60"/>
      <c r="J3" s="60"/>
      <c r="K3" s="60"/>
      <c r="L3" s="60"/>
      <c r="M3" s="60"/>
    </row>
    <row r="4" spans="1:16">
      <c r="A4" s="60" t="s">
        <v>171</v>
      </c>
      <c r="B4" s="60"/>
      <c r="C4" s="60"/>
      <c r="D4" s="60"/>
      <c r="E4" s="60"/>
      <c r="F4" s="60"/>
      <c r="G4" s="60"/>
      <c r="H4" s="60"/>
      <c r="I4" s="60"/>
      <c r="J4" s="60"/>
      <c r="K4" s="60"/>
      <c r="L4" s="60"/>
      <c r="M4" s="60"/>
    </row>
    <row r="5" spans="1:16" hidden="1"/>
    <row r="6" spans="1:16" hidden="1"/>
    <row r="7" spans="1:16" hidden="1">
      <c r="A7" t="s">
        <v>0</v>
      </c>
    </row>
    <row r="8" spans="1:16">
      <c r="A8" s="92" t="s">
        <v>179</v>
      </c>
      <c r="B8" s="92" t="s">
        <v>181</v>
      </c>
      <c r="C8" s="92" t="s">
        <v>7</v>
      </c>
      <c r="D8" s="92" t="s">
        <v>8</v>
      </c>
      <c r="E8" s="92" t="s">
        <v>9</v>
      </c>
      <c r="F8" s="92" t="s">
        <v>10</v>
      </c>
      <c r="G8" s="92" t="s">
        <v>11</v>
      </c>
      <c r="H8" s="92" t="s">
        <v>12</v>
      </c>
      <c r="I8" s="92" t="s">
        <v>13</v>
      </c>
      <c r="J8" s="92" t="s">
        <v>14</v>
      </c>
      <c r="K8" s="92" t="s">
        <v>15</v>
      </c>
      <c r="L8" s="92" t="s">
        <v>16</v>
      </c>
      <c r="M8" s="92" t="s">
        <v>17</v>
      </c>
      <c r="N8" s="92" t="s">
        <v>182</v>
      </c>
    </row>
    <row r="9" spans="1:16" hidden="1">
      <c r="A9" s="80"/>
      <c r="B9" s="80" t="s">
        <v>6</v>
      </c>
      <c r="C9" s="80" t="s">
        <v>7</v>
      </c>
      <c r="D9" s="80" t="s">
        <v>8</v>
      </c>
      <c r="E9" s="80" t="s">
        <v>9</v>
      </c>
      <c r="F9" s="80" t="s">
        <v>10</v>
      </c>
      <c r="G9" s="80" t="s">
        <v>11</v>
      </c>
      <c r="H9" s="80" t="s">
        <v>12</v>
      </c>
      <c r="I9" s="80" t="s">
        <v>13</v>
      </c>
      <c r="J9" s="80" t="s">
        <v>14</v>
      </c>
      <c r="K9" s="80" t="s">
        <v>15</v>
      </c>
      <c r="L9" s="80" t="s">
        <v>16</v>
      </c>
      <c r="M9" s="80" t="s">
        <v>17</v>
      </c>
      <c r="N9" s="89" t="s">
        <v>18</v>
      </c>
    </row>
    <row r="10" spans="1:16" hidden="1">
      <c r="A10" s="81" t="s">
        <v>5</v>
      </c>
      <c r="B10" s="80"/>
      <c r="C10" s="80"/>
      <c r="D10" s="80"/>
      <c r="E10" s="80"/>
      <c r="F10" s="80"/>
      <c r="G10" s="80"/>
      <c r="H10" s="80"/>
      <c r="I10" s="80"/>
      <c r="J10" s="80"/>
      <c r="K10" s="80"/>
      <c r="L10" s="80"/>
      <c r="M10" s="80"/>
      <c r="N10" s="89"/>
    </row>
    <row r="11" spans="1:16" hidden="1">
      <c r="A11" s="82"/>
      <c r="B11" s="80"/>
      <c r="C11" s="80"/>
      <c r="D11" s="83">
        <v>540</v>
      </c>
      <c r="E11" s="80"/>
      <c r="F11" s="80">
        <v>522</v>
      </c>
      <c r="G11" s="80">
        <v>450</v>
      </c>
      <c r="H11" s="80">
        <v>516</v>
      </c>
      <c r="I11" s="80">
        <v>528</v>
      </c>
      <c r="J11" s="80">
        <v>300</v>
      </c>
      <c r="K11" s="80">
        <v>498</v>
      </c>
      <c r="L11" s="80">
        <v>540</v>
      </c>
      <c r="M11" s="80">
        <v>570</v>
      </c>
      <c r="N11" s="89"/>
      <c r="O11">
        <v>1</v>
      </c>
      <c r="P11">
        <v>0.4</v>
      </c>
    </row>
    <row r="12" spans="1:16">
      <c r="A12" s="84" t="s">
        <v>85</v>
      </c>
      <c r="B12" s="84">
        <f>450*0.4</f>
        <v>180</v>
      </c>
      <c r="C12" s="84">
        <f>510*0.4</f>
        <v>204</v>
      </c>
      <c r="D12" s="84">
        <f>D11*P11</f>
        <v>216</v>
      </c>
      <c r="E12" s="84">
        <f>498*0.4</f>
        <v>199.20000000000002</v>
      </c>
      <c r="F12" s="84">
        <f>F11*P11</f>
        <v>208.8</v>
      </c>
      <c r="G12" s="84">
        <f>G11*P11</f>
        <v>180</v>
      </c>
      <c r="H12" s="84">
        <f>H11*P11</f>
        <v>206.4</v>
      </c>
      <c r="I12" s="84">
        <f>I11*P11</f>
        <v>211.20000000000002</v>
      </c>
      <c r="J12" s="84">
        <f>J11*P11</f>
        <v>120</v>
      </c>
      <c r="K12" s="84">
        <f>K11*P11</f>
        <v>199.20000000000002</v>
      </c>
      <c r="L12" s="84">
        <f>L11*P11</f>
        <v>216</v>
      </c>
      <c r="M12" s="84">
        <f>M11*P11</f>
        <v>228</v>
      </c>
      <c r="N12" s="90">
        <f>SUM(B12:M12)</f>
        <v>2368.8000000000002</v>
      </c>
      <c r="O12">
        <v>2</v>
      </c>
      <c r="P12">
        <v>0.2</v>
      </c>
    </row>
    <row r="13" spans="1:16">
      <c r="A13" s="84" t="s">
        <v>86</v>
      </c>
      <c r="B13" s="84">
        <f>450*0.2</f>
        <v>90</v>
      </c>
      <c r="C13" s="84">
        <f>510*0.2</f>
        <v>102</v>
      </c>
      <c r="D13" s="84">
        <f>D11*P12</f>
        <v>108</v>
      </c>
      <c r="E13" s="84">
        <f>498*0.2</f>
        <v>99.600000000000009</v>
      </c>
      <c r="F13" s="84">
        <f>F11*P12</f>
        <v>104.4</v>
      </c>
      <c r="G13" s="84">
        <f>G11*P12</f>
        <v>90</v>
      </c>
      <c r="H13" s="84">
        <f>H11*P12</f>
        <v>103.2</v>
      </c>
      <c r="I13" s="84">
        <f>I11*P12</f>
        <v>105.60000000000001</v>
      </c>
      <c r="J13" s="84">
        <f>J11*P12</f>
        <v>60</v>
      </c>
      <c r="K13" s="84">
        <f>K11*P12</f>
        <v>99.600000000000009</v>
      </c>
      <c r="L13" s="84">
        <f>L11*P12</f>
        <v>108</v>
      </c>
      <c r="M13" s="84">
        <f>M11*P12</f>
        <v>114</v>
      </c>
      <c r="N13" s="90">
        <f>SUM(B13:M13)</f>
        <v>1184.4000000000001</v>
      </c>
      <c r="O13">
        <v>3</v>
      </c>
      <c r="P13">
        <v>0.4</v>
      </c>
    </row>
    <row r="14" spans="1:16">
      <c r="A14" s="84" t="s">
        <v>87</v>
      </c>
      <c r="B14" s="84">
        <f>450*0.4</f>
        <v>180</v>
      </c>
      <c r="C14" s="84">
        <f>510*0.4</f>
        <v>204</v>
      </c>
      <c r="D14" s="84">
        <f>D11*P13</f>
        <v>216</v>
      </c>
      <c r="E14" s="84">
        <f>498*0.4</f>
        <v>199.20000000000002</v>
      </c>
      <c r="F14" s="84">
        <f>F11*P13</f>
        <v>208.8</v>
      </c>
      <c r="G14" s="84">
        <f>G11*P13</f>
        <v>180</v>
      </c>
      <c r="H14" s="84">
        <f>H11*P13</f>
        <v>206.4</v>
      </c>
      <c r="I14" s="84">
        <f>I11*P13</f>
        <v>211.20000000000002</v>
      </c>
      <c r="J14" s="84">
        <f>J11*P13</f>
        <v>120</v>
      </c>
      <c r="K14" s="84">
        <f>K11*P13</f>
        <v>199.20000000000002</v>
      </c>
      <c r="L14" s="84">
        <f>L11*P13</f>
        <v>216</v>
      </c>
      <c r="M14" s="84">
        <f>M11*P13</f>
        <v>228</v>
      </c>
      <c r="N14" s="90">
        <f>SUM(B14:M14)</f>
        <v>2368.8000000000002</v>
      </c>
    </row>
    <row r="15" spans="1:16">
      <c r="A15" s="85" t="s">
        <v>52</v>
      </c>
      <c r="B15" s="84">
        <f>SUM(B12:B14)</f>
        <v>450</v>
      </c>
      <c r="C15" s="84">
        <f t="shared" ref="C15:N15" si="0">SUM(C12:C14)</f>
        <v>510</v>
      </c>
      <c r="D15" s="84">
        <f t="shared" si="0"/>
        <v>540</v>
      </c>
      <c r="E15" s="84">
        <f t="shared" si="0"/>
        <v>498</v>
      </c>
      <c r="F15" s="84">
        <f t="shared" si="0"/>
        <v>522</v>
      </c>
      <c r="G15" s="84">
        <f t="shared" si="0"/>
        <v>450</v>
      </c>
      <c r="H15" s="84">
        <f t="shared" si="0"/>
        <v>516</v>
      </c>
      <c r="I15" s="84">
        <f t="shared" si="0"/>
        <v>528</v>
      </c>
      <c r="J15" s="84">
        <f t="shared" si="0"/>
        <v>300</v>
      </c>
      <c r="K15" s="84">
        <f t="shared" si="0"/>
        <v>498</v>
      </c>
      <c r="L15" s="84">
        <f t="shared" si="0"/>
        <v>540</v>
      </c>
      <c r="M15" s="84">
        <f t="shared" si="0"/>
        <v>570</v>
      </c>
      <c r="N15" s="90">
        <f t="shared" si="0"/>
        <v>5922</v>
      </c>
    </row>
    <row r="16" spans="1:16">
      <c r="A16" s="85" t="s">
        <v>48</v>
      </c>
      <c r="B16" s="84">
        <f>B15*0.2</f>
        <v>90</v>
      </c>
      <c r="C16" s="84">
        <f t="shared" ref="C16:M16" si="1">C15*0.2</f>
        <v>102</v>
      </c>
      <c r="D16" s="84">
        <f t="shared" si="1"/>
        <v>108</v>
      </c>
      <c r="E16" s="84">
        <f t="shared" si="1"/>
        <v>99.600000000000009</v>
      </c>
      <c r="F16" s="84">
        <f t="shared" si="1"/>
        <v>104.4</v>
      </c>
      <c r="G16" s="84">
        <f t="shared" si="1"/>
        <v>90</v>
      </c>
      <c r="H16" s="84">
        <f t="shared" si="1"/>
        <v>103.2</v>
      </c>
      <c r="I16" s="84">
        <f t="shared" si="1"/>
        <v>105.60000000000001</v>
      </c>
      <c r="J16" s="84">
        <f>J15*0.2</f>
        <v>60</v>
      </c>
      <c r="K16" s="84">
        <f t="shared" si="1"/>
        <v>99.600000000000009</v>
      </c>
      <c r="L16" s="84">
        <f t="shared" si="1"/>
        <v>108</v>
      </c>
      <c r="M16" s="84">
        <f t="shared" si="1"/>
        <v>114</v>
      </c>
      <c r="N16" s="90">
        <f>SUM(B16:M16)</f>
        <v>1184.4000000000001</v>
      </c>
    </row>
    <row r="17" spans="1:14">
      <c r="A17" s="85" t="s">
        <v>53</v>
      </c>
      <c r="B17" s="84">
        <f>B15-B16</f>
        <v>360</v>
      </c>
      <c r="C17" s="84">
        <f t="shared" ref="C17:M17" si="2">C15-C16</f>
        <v>408</v>
      </c>
      <c r="D17" s="84">
        <f t="shared" si="2"/>
        <v>432</v>
      </c>
      <c r="E17" s="84">
        <f t="shared" si="2"/>
        <v>398.4</v>
      </c>
      <c r="F17" s="84">
        <f t="shared" si="2"/>
        <v>417.6</v>
      </c>
      <c r="G17" s="84">
        <f t="shared" si="2"/>
        <v>360</v>
      </c>
      <c r="H17" s="84">
        <f t="shared" si="2"/>
        <v>412.8</v>
      </c>
      <c r="I17" s="84">
        <f t="shared" si="2"/>
        <v>422.4</v>
      </c>
      <c r="J17" s="84">
        <f t="shared" si="2"/>
        <v>240</v>
      </c>
      <c r="K17" s="84">
        <f t="shared" si="2"/>
        <v>398.4</v>
      </c>
      <c r="L17" s="84">
        <f t="shared" si="2"/>
        <v>432</v>
      </c>
      <c r="M17" s="84">
        <f t="shared" si="2"/>
        <v>456</v>
      </c>
      <c r="N17" s="90">
        <f>SUM(B17:M17)</f>
        <v>4737.6000000000004</v>
      </c>
    </row>
    <row r="18" spans="1:14">
      <c r="A18" s="85" t="s">
        <v>150</v>
      </c>
      <c r="B18" s="84"/>
      <c r="C18" s="84"/>
      <c r="D18" s="84"/>
      <c r="E18" s="84"/>
      <c r="F18" s="84"/>
      <c r="G18" s="84"/>
      <c r="H18" s="84"/>
      <c r="I18" s="84"/>
      <c r="J18" s="84"/>
      <c r="K18" s="84"/>
      <c r="L18" s="84"/>
      <c r="M18" s="84"/>
      <c r="N18" s="90"/>
    </row>
    <row r="19" spans="1:14">
      <c r="A19" s="84" t="s">
        <v>33</v>
      </c>
      <c r="B19" s="84">
        <v>200</v>
      </c>
      <c r="C19" s="84">
        <v>200</v>
      </c>
      <c r="D19" s="84">
        <v>200</v>
      </c>
      <c r="E19" s="84">
        <v>200</v>
      </c>
      <c r="F19" s="84">
        <v>200</v>
      </c>
      <c r="G19" s="84">
        <v>200</v>
      </c>
      <c r="H19" s="84">
        <v>200</v>
      </c>
      <c r="I19" s="84">
        <v>200</v>
      </c>
      <c r="J19" s="84">
        <v>200</v>
      </c>
      <c r="K19" s="84">
        <v>200</v>
      </c>
      <c r="L19" s="84">
        <v>200</v>
      </c>
      <c r="M19" s="84">
        <v>200</v>
      </c>
      <c r="N19" s="90">
        <v>200</v>
      </c>
    </row>
    <row r="20" spans="1:14">
      <c r="A20" s="84" t="s">
        <v>34</v>
      </c>
      <c r="B20" s="84">
        <f>B17*0.05</f>
        <v>18</v>
      </c>
      <c r="C20" s="84">
        <f t="shared" ref="C20:M20" si="3">C17*0.05</f>
        <v>20.400000000000002</v>
      </c>
      <c r="D20" s="84">
        <f t="shared" si="3"/>
        <v>21.6</v>
      </c>
      <c r="E20" s="84">
        <f t="shared" si="3"/>
        <v>19.920000000000002</v>
      </c>
      <c r="F20" s="84">
        <f t="shared" si="3"/>
        <v>20.880000000000003</v>
      </c>
      <c r="G20" s="84">
        <f t="shared" si="3"/>
        <v>18</v>
      </c>
      <c r="H20" s="84">
        <f t="shared" si="3"/>
        <v>20.64</v>
      </c>
      <c r="I20" s="84">
        <f t="shared" si="3"/>
        <v>21.12</v>
      </c>
      <c r="J20" s="84">
        <f t="shared" si="3"/>
        <v>12</v>
      </c>
      <c r="K20" s="84">
        <f t="shared" si="3"/>
        <v>19.920000000000002</v>
      </c>
      <c r="L20" s="84">
        <f t="shared" si="3"/>
        <v>21.6</v>
      </c>
      <c r="M20" s="84">
        <f t="shared" si="3"/>
        <v>22.8</v>
      </c>
      <c r="N20" s="90">
        <f>SUM(B20:M20)</f>
        <v>236.88000000000002</v>
      </c>
    </row>
    <row r="21" spans="1:14">
      <c r="A21" s="84" t="s">
        <v>35</v>
      </c>
      <c r="B21" s="84">
        <f>B17*0.2</f>
        <v>72</v>
      </c>
      <c r="C21" s="84">
        <f>C15*0.2</f>
        <v>102</v>
      </c>
      <c r="D21" s="84">
        <f t="shared" ref="D21:M21" si="4">D17*0.2</f>
        <v>86.4</v>
      </c>
      <c r="E21" s="84">
        <f t="shared" si="4"/>
        <v>79.680000000000007</v>
      </c>
      <c r="F21" s="84">
        <f t="shared" si="4"/>
        <v>83.52000000000001</v>
      </c>
      <c r="G21" s="84">
        <f t="shared" si="4"/>
        <v>72</v>
      </c>
      <c r="H21" s="84">
        <f t="shared" si="4"/>
        <v>82.56</v>
      </c>
      <c r="I21" s="84">
        <f t="shared" si="4"/>
        <v>84.48</v>
      </c>
      <c r="J21" s="84">
        <f t="shared" si="4"/>
        <v>48</v>
      </c>
      <c r="K21" s="84">
        <f t="shared" si="4"/>
        <v>79.680000000000007</v>
      </c>
      <c r="L21" s="84">
        <f t="shared" si="4"/>
        <v>86.4</v>
      </c>
      <c r="M21" s="84">
        <f t="shared" si="4"/>
        <v>91.2</v>
      </c>
      <c r="N21" s="90">
        <f>SUM(B21:M21)</f>
        <v>967.92000000000019</v>
      </c>
    </row>
    <row r="22" spans="1:14" hidden="1">
      <c r="A22" s="84" t="s">
        <v>36</v>
      </c>
      <c r="B22" s="84">
        <f>B17*0.1</f>
        <v>36</v>
      </c>
      <c r="C22" s="84">
        <f t="shared" ref="C22:M22" si="5">C17*0.1</f>
        <v>40.800000000000004</v>
      </c>
      <c r="D22" s="84">
        <f t="shared" si="5"/>
        <v>43.2</v>
      </c>
      <c r="E22" s="84">
        <f t="shared" si="5"/>
        <v>39.840000000000003</v>
      </c>
      <c r="F22" s="84">
        <f t="shared" si="5"/>
        <v>41.760000000000005</v>
      </c>
      <c r="G22" s="84">
        <f t="shared" si="5"/>
        <v>36</v>
      </c>
      <c r="H22" s="84">
        <f t="shared" si="5"/>
        <v>41.28</v>
      </c>
      <c r="I22" s="84">
        <f t="shared" si="5"/>
        <v>42.24</v>
      </c>
      <c r="J22" s="84">
        <f t="shared" si="5"/>
        <v>24</v>
      </c>
      <c r="K22" s="84">
        <f t="shared" si="5"/>
        <v>39.840000000000003</v>
      </c>
      <c r="L22" s="84">
        <f t="shared" si="5"/>
        <v>43.2</v>
      </c>
      <c r="M22" s="84">
        <f t="shared" si="5"/>
        <v>45.6</v>
      </c>
      <c r="N22" s="90">
        <f>SUM(B22:M22)</f>
        <v>473.76000000000005</v>
      </c>
    </row>
    <row r="23" spans="1:14" ht="15" hidden="1" customHeight="1">
      <c r="A23" s="84" t="s">
        <v>37</v>
      </c>
      <c r="B23" s="84"/>
      <c r="C23" s="84"/>
      <c r="D23" s="84"/>
      <c r="E23" s="84"/>
      <c r="F23" s="84"/>
      <c r="G23" s="84"/>
      <c r="H23" s="84"/>
      <c r="I23" s="84"/>
      <c r="J23" s="85"/>
      <c r="K23" s="84"/>
      <c r="L23" s="84"/>
      <c r="M23" s="84"/>
      <c r="N23" s="90"/>
    </row>
    <row r="24" spans="1:14" ht="15" hidden="1" customHeight="1">
      <c r="A24" s="86" t="s">
        <v>38</v>
      </c>
      <c r="B24" s="86"/>
      <c r="C24" s="86"/>
      <c r="D24" s="84"/>
      <c r="E24" s="84"/>
      <c r="F24" s="84"/>
      <c r="G24" s="84"/>
      <c r="H24" s="84"/>
      <c r="I24" s="84"/>
      <c r="J24" s="85"/>
      <c r="K24" s="84"/>
      <c r="L24" s="84"/>
      <c r="M24" s="84"/>
      <c r="N24" s="90"/>
    </row>
    <row r="25" spans="1:14" ht="15" hidden="1" customHeight="1">
      <c r="A25" s="86"/>
      <c r="B25" s="86"/>
      <c r="C25" s="86"/>
      <c r="D25" s="84"/>
      <c r="E25" s="84"/>
      <c r="F25" s="84"/>
      <c r="G25" s="84"/>
      <c r="H25" s="84"/>
      <c r="I25" s="84"/>
      <c r="J25" s="85"/>
      <c r="K25" s="84"/>
      <c r="L25" s="84"/>
      <c r="M25" s="84"/>
      <c r="N25" s="90"/>
    </row>
    <row r="26" spans="1:14" ht="15" customHeight="1">
      <c r="A26" s="87" t="s">
        <v>149</v>
      </c>
      <c r="B26" s="88">
        <v>26.94</v>
      </c>
      <c r="C26" s="88">
        <v>26.94</v>
      </c>
      <c r="D26" s="88">
        <v>26.94</v>
      </c>
      <c r="E26" s="88">
        <v>26.94</v>
      </c>
      <c r="F26" s="88">
        <v>26.94</v>
      </c>
      <c r="G26" s="88">
        <v>26.94</v>
      </c>
      <c r="H26" s="88">
        <v>26.94</v>
      </c>
      <c r="I26" s="88">
        <v>26.94</v>
      </c>
      <c r="J26" s="88">
        <v>26.94</v>
      </c>
      <c r="K26" s="88">
        <v>26.94</v>
      </c>
      <c r="L26" s="88">
        <v>26.94</v>
      </c>
      <c r="M26" s="88">
        <v>26.94</v>
      </c>
      <c r="N26" s="91">
        <f>SUM(B26:M26)</f>
        <v>323.28000000000003</v>
      </c>
    </row>
    <row r="27" spans="1:14">
      <c r="A27" s="87" t="s">
        <v>154</v>
      </c>
      <c r="B27" s="88">
        <f>'Start Up Costs '!B41</f>
        <v>30.75</v>
      </c>
      <c r="C27" s="88">
        <v>30.75</v>
      </c>
      <c r="D27" s="88">
        <v>30.75</v>
      </c>
      <c r="E27" s="88">
        <v>30.75</v>
      </c>
      <c r="F27" s="88">
        <v>30.75</v>
      </c>
      <c r="G27" s="88">
        <v>30.75</v>
      </c>
      <c r="H27" s="88">
        <v>30.75</v>
      </c>
      <c r="I27" s="88">
        <v>30.75</v>
      </c>
      <c r="J27" s="88">
        <v>30.75</v>
      </c>
      <c r="K27" s="88">
        <v>30.75</v>
      </c>
      <c r="L27" s="88">
        <v>30.75</v>
      </c>
      <c r="M27" s="88">
        <v>30.75</v>
      </c>
      <c r="N27" s="91">
        <f>SUM(B27:M27)</f>
        <v>369</v>
      </c>
    </row>
    <row r="28" spans="1:14" hidden="1">
      <c r="A28" s="85" t="s">
        <v>39</v>
      </c>
      <c r="B28" s="84">
        <f>B19+B20+B21+B22</f>
        <v>326</v>
      </c>
      <c r="C28" s="84">
        <f t="shared" ref="C28:M28" si="6">C19+C20+C21+C22</f>
        <v>363.2</v>
      </c>
      <c r="D28" s="84">
        <f t="shared" si="6"/>
        <v>351.2</v>
      </c>
      <c r="E28" s="84">
        <f t="shared" si="6"/>
        <v>339.44000000000005</v>
      </c>
      <c r="F28" s="84">
        <f t="shared" si="6"/>
        <v>346.15999999999997</v>
      </c>
      <c r="G28" s="84">
        <f t="shared" si="6"/>
        <v>326</v>
      </c>
      <c r="H28" s="84">
        <f t="shared" si="6"/>
        <v>344.48</v>
      </c>
      <c r="I28" s="84">
        <f t="shared" si="6"/>
        <v>347.84000000000003</v>
      </c>
      <c r="J28" s="84">
        <f t="shared" si="6"/>
        <v>284</v>
      </c>
      <c r="K28" s="84">
        <f t="shared" si="6"/>
        <v>339.44000000000005</v>
      </c>
      <c r="L28" s="84">
        <f t="shared" si="6"/>
        <v>351.2</v>
      </c>
      <c r="M28" s="84">
        <f t="shared" si="6"/>
        <v>359.6</v>
      </c>
      <c r="N28" s="90">
        <f>SUM(N19:N27)</f>
        <v>2570.84</v>
      </c>
    </row>
    <row r="29" spans="1:14" hidden="1">
      <c r="A29" s="85"/>
      <c r="B29" s="84"/>
      <c r="C29" s="84"/>
      <c r="D29" s="84"/>
      <c r="E29" s="84"/>
      <c r="F29" s="84"/>
      <c r="G29" s="84"/>
      <c r="H29" s="84"/>
      <c r="I29" s="84"/>
      <c r="J29" s="84"/>
      <c r="K29" s="84"/>
      <c r="L29" s="84"/>
      <c r="M29" s="84"/>
      <c r="N29" s="90"/>
    </row>
    <row r="30" spans="1:14">
      <c r="A30" s="85" t="s">
        <v>51</v>
      </c>
      <c r="B30" s="84">
        <f>B17-B28</f>
        <v>34</v>
      </c>
      <c r="C30" s="84">
        <f t="shared" ref="C30:M30" si="7">C17-C28</f>
        <v>44.800000000000011</v>
      </c>
      <c r="D30" s="84">
        <f t="shared" si="7"/>
        <v>80.800000000000011</v>
      </c>
      <c r="E30" s="84">
        <f t="shared" si="7"/>
        <v>58.959999999999923</v>
      </c>
      <c r="F30" s="84">
        <f t="shared" si="7"/>
        <v>71.440000000000055</v>
      </c>
      <c r="G30" s="84">
        <f t="shared" si="7"/>
        <v>34</v>
      </c>
      <c r="H30" s="84">
        <f t="shared" si="7"/>
        <v>68.319999999999993</v>
      </c>
      <c r="I30" s="84">
        <f t="shared" si="7"/>
        <v>74.559999999999945</v>
      </c>
      <c r="J30" s="84">
        <f t="shared" si="7"/>
        <v>-44</v>
      </c>
      <c r="K30" s="84">
        <f t="shared" si="7"/>
        <v>58.959999999999923</v>
      </c>
      <c r="L30" s="84">
        <f t="shared" si="7"/>
        <v>80.800000000000011</v>
      </c>
      <c r="M30" s="84">
        <f t="shared" si="7"/>
        <v>96.399999999999977</v>
      </c>
      <c r="N30" s="90">
        <f>N17-N28</f>
        <v>2166.7600000000002</v>
      </c>
    </row>
    <row r="31" spans="1:14">
      <c r="A31" s="84" t="s">
        <v>40</v>
      </c>
      <c r="B31" s="84">
        <f>B30*0.2</f>
        <v>6.8000000000000007</v>
      </c>
      <c r="C31" s="84">
        <f t="shared" ref="C31:L31" si="8">C30*0.2</f>
        <v>8.9600000000000026</v>
      </c>
      <c r="D31" s="84">
        <f t="shared" si="8"/>
        <v>16.160000000000004</v>
      </c>
      <c r="E31" s="84">
        <f t="shared" si="8"/>
        <v>11.791999999999986</v>
      </c>
      <c r="F31" s="84">
        <f t="shared" si="8"/>
        <v>14.288000000000011</v>
      </c>
      <c r="G31" s="84">
        <f t="shared" si="8"/>
        <v>6.8000000000000007</v>
      </c>
      <c r="H31" s="84">
        <f t="shared" si="8"/>
        <v>13.664</v>
      </c>
      <c r="I31" s="84">
        <f t="shared" si="8"/>
        <v>14.91199999999999</v>
      </c>
      <c r="J31" s="84">
        <f t="shared" si="8"/>
        <v>-8.8000000000000007</v>
      </c>
      <c r="K31" s="84">
        <f t="shared" si="8"/>
        <v>11.791999999999986</v>
      </c>
      <c r="L31" s="84">
        <f t="shared" si="8"/>
        <v>16.160000000000004</v>
      </c>
      <c r="M31" s="84">
        <f>M30*0.2</f>
        <v>19.279999999999998</v>
      </c>
      <c r="N31" s="90">
        <f>D31+E31+F31+H31+I31+K31+L31+M31</f>
        <v>118.04799999999997</v>
      </c>
    </row>
    <row r="32" spans="1:14">
      <c r="A32" s="85" t="s">
        <v>41</v>
      </c>
      <c r="B32" s="84">
        <f>B30-B31</f>
        <v>27.2</v>
      </c>
      <c r="C32" s="84">
        <f t="shared" ref="C32:M32" si="9">C30-C31</f>
        <v>35.840000000000011</v>
      </c>
      <c r="D32" s="84">
        <f t="shared" si="9"/>
        <v>64.640000000000015</v>
      </c>
      <c r="E32" s="84">
        <f t="shared" si="9"/>
        <v>47.167999999999935</v>
      </c>
      <c r="F32" s="84">
        <f t="shared" si="9"/>
        <v>57.152000000000044</v>
      </c>
      <c r="G32" s="84">
        <f t="shared" si="9"/>
        <v>27.2</v>
      </c>
      <c r="H32" s="84">
        <f t="shared" si="9"/>
        <v>54.655999999999992</v>
      </c>
      <c r="I32" s="84">
        <f t="shared" si="9"/>
        <v>59.647999999999954</v>
      </c>
      <c r="J32" s="84">
        <f t="shared" si="9"/>
        <v>-35.200000000000003</v>
      </c>
      <c r="K32" s="84">
        <f t="shared" si="9"/>
        <v>47.167999999999935</v>
      </c>
      <c r="L32" s="84">
        <f t="shared" si="9"/>
        <v>64.640000000000015</v>
      </c>
      <c r="M32" s="84">
        <f t="shared" si="9"/>
        <v>77.119999999999976</v>
      </c>
      <c r="N32" s="90">
        <f>N30-N31</f>
        <v>2048.7120000000004</v>
      </c>
    </row>
    <row r="33" spans="1:17">
      <c r="A33" s="93" t="s">
        <v>88</v>
      </c>
      <c r="B33" s="94">
        <f>B30/B15</f>
        <v>7.5555555555555556E-2</v>
      </c>
      <c r="C33" s="94">
        <f>C30/C15</f>
        <v>8.7843137254901976E-2</v>
      </c>
      <c r="D33" s="94">
        <f>D30/D15</f>
        <v>0.14962962962962964</v>
      </c>
      <c r="E33" s="94">
        <f t="shared" ref="E33:M33" si="10">E30/E15</f>
        <v>0.11839357429718859</v>
      </c>
      <c r="F33" s="94">
        <f t="shared" si="10"/>
        <v>0.13685823754789284</v>
      </c>
      <c r="G33" s="94">
        <f t="shared" si="10"/>
        <v>7.5555555555555556E-2</v>
      </c>
      <c r="H33" s="94">
        <f t="shared" si="10"/>
        <v>0.13240310077519379</v>
      </c>
      <c r="I33" s="94">
        <f t="shared" si="10"/>
        <v>0.14121212121212112</v>
      </c>
      <c r="J33" s="94">
        <f t="shared" si="10"/>
        <v>-0.14666666666666667</v>
      </c>
      <c r="K33" s="94">
        <f t="shared" si="10"/>
        <v>0.11839357429718859</v>
      </c>
      <c r="L33" s="94">
        <f t="shared" si="10"/>
        <v>0.14962962962962964</v>
      </c>
      <c r="M33" s="94">
        <f t="shared" si="10"/>
        <v>0.16912280701754381</v>
      </c>
      <c r="N33" s="95">
        <f>N32/N15</f>
        <v>0.34594934143870321</v>
      </c>
    </row>
    <row r="34" spans="1:17">
      <c r="N34" s="41"/>
      <c r="P34" s="6"/>
      <c r="Q34" s="6"/>
    </row>
    <row r="35" spans="1:17">
      <c r="P35" s="6"/>
      <c r="Q35" s="6"/>
    </row>
    <row r="36" spans="1:17" hidden="1">
      <c r="P36" s="6"/>
      <c r="Q36" s="6"/>
    </row>
    <row r="37" spans="1:17" hidden="1">
      <c r="P37" s="6"/>
      <c r="Q37" s="6"/>
    </row>
    <row r="38" spans="1:17" ht="17.399999999999999" hidden="1">
      <c r="B38" s="5" t="s">
        <v>43</v>
      </c>
      <c r="C38" s="6"/>
      <c r="D38" s="6"/>
      <c r="E38" s="6"/>
      <c r="F38" s="6"/>
      <c r="G38" s="6"/>
      <c r="H38" s="6"/>
      <c r="I38" s="6"/>
      <c r="J38" s="6"/>
      <c r="K38" s="6"/>
      <c r="L38" s="6"/>
      <c r="M38" s="6"/>
      <c r="N38" s="6"/>
      <c r="O38" s="6"/>
      <c r="P38" s="6"/>
      <c r="Q38" s="6"/>
    </row>
    <row r="39" spans="1:17" hidden="1">
      <c r="B39" s="7"/>
      <c r="C39" s="6"/>
      <c r="D39" s="6"/>
      <c r="E39" s="6"/>
      <c r="F39" s="6"/>
      <c r="G39" s="6"/>
      <c r="H39" s="6"/>
      <c r="I39" s="6"/>
      <c r="J39" s="6"/>
      <c r="K39" s="6"/>
      <c r="L39" s="6"/>
      <c r="M39" s="6"/>
      <c r="N39" s="6"/>
      <c r="O39" s="6"/>
      <c r="P39" s="6"/>
      <c r="Q39" s="6"/>
    </row>
    <row r="40" spans="1:17" hidden="1">
      <c r="B40" s="7" t="s">
        <v>44</v>
      </c>
      <c r="C40" s="6"/>
      <c r="D40" s="6"/>
      <c r="E40" s="6"/>
      <c r="F40" s="6"/>
      <c r="G40" s="6"/>
      <c r="H40" s="6"/>
      <c r="I40" s="6"/>
      <c r="J40" s="6"/>
      <c r="K40" s="6"/>
      <c r="L40" s="6"/>
      <c r="M40" s="6"/>
      <c r="N40" s="6"/>
      <c r="O40" s="6"/>
      <c r="P40" s="6"/>
      <c r="Q40" s="6"/>
    </row>
    <row r="41" spans="1:17" hidden="1">
      <c r="B41" s="8"/>
      <c r="C41" s="6"/>
      <c r="D41" s="6"/>
      <c r="E41" s="6"/>
      <c r="F41" s="6"/>
      <c r="G41" s="6"/>
      <c r="H41" s="6"/>
      <c r="I41" s="6"/>
      <c r="J41" s="6"/>
      <c r="K41" s="6"/>
      <c r="L41" s="6"/>
      <c r="M41" s="6"/>
      <c r="N41" s="6"/>
      <c r="O41" s="6"/>
      <c r="P41" s="6"/>
      <c r="Q41" s="6"/>
    </row>
    <row r="42" spans="1:17" hidden="1">
      <c r="B42" s="9" t="s">
        <v>47</v>
      </c>
      <c r="C42" s="6"/>
      <c r="D42" s="6"/>
      <c r="E42" s="6"/>
      <c r="F42" s="6"/>
      <c r="G42" s="6"/>
      <c r="H42" s="6"/>
      <c r="I42" s="6"/>
      <c r="J42" s="6"/>
      <c r="K42" s="6"/>
      <c r="L42" s="6"/>
      <c r="M42" s="6"/>
      <c r="N42" s="6"/>
      <c r="O42" s="6"/>
      <c r="P42" s="6"/>
      <c r="Q42" s="6"/>
    </row>
    <row r="43" spans="1:17" hidden="1">
      <c r="B43" s="9" t="s">
        <v>42</v>
      </c>
      <c r="C43" s="6"/>
      <c r="D43" s="6"/>
      <c r="E43" s="6"/>
      <c r="F43" s="6"/>
      <c r="G43" s="6"/>
      <c r="H43" s="6"/>
      <c r="I43" s="6"/>
      <c r="J43" s="6"/>
      <c r="K43" s="6"/>
      <c r="L43" s="6"/>
      <c r="M43" s="6"/>
      <c r="N43" s="6"/>
      <c r="O43" s="6"/>
      <c r="P43" s="6"/>
      <c r="Q43" s="6"/>
    </row>
    <row r="44" spans="1:17" hidden="1">
      <c r="B44" s="9" t="s">
        <v>49</v>
      </c>
      <c r="C44" s="6"/>
      <c r="D44" s="6"/>
      <c r="E44" s="6"/>
      <c r="F44" s="6"/>
      <c r="G44" s="6"/>
      <c r="H44" s="6"/>
      <c r="I44" s="6"/>
      <c r="J44" s="6"/>
      <c r="K44" s="6"/>
      <c r="L44" s="6"/>
      <c r="M44" s="6"/>
      <c r="N44" s="6"/>
      <c r="O44" s="6"/>
      <c r="P44" s="6"/>
      <c r="Q44" s="6"/>
    </row>
    <row r="45" spans="1:17" hidden="1">
      <c r="B45" s="9" t="s">
        <v>50</v>
      </c>
      <c r="C45" s="6"/>
      <c r="D45" s="6"/>
      <c r="E45" s="6"/>
      <c r="F45" s="6"/>
      <c r="G45" s="6"/>
      <c r="H45" s="6"/>
      <c r="I45" s="6"/>
      <c r="J45" s="6"/>
      <c r="K45" s="6"/>
      <c r="L45" s="6"/>
      <c r="M45" s="6"/>
      <c r="N45" s="6"/>
      <c r="O45" s="6"/>
    </row>
    <row r="46" spans="1:17" hidden="1">
      <c r="B46" s="9" t="s">
        <v>45</v>
      </c>
      <c r="C46" s="6"/>
      <c r="D46" s="6"/>
      <c r="E46" s="6"/>
      <c r="F46" s="6"/>
      <c r="G46" s="6"/>
      <c r="H46" s="6"/>
      <c r="I46" s="6"/>
      <c r="J46" s="6"/>
      <c r="K46" s="6"/>
      <c r="L46" s="6"/>
      <c r="M46" s="6"/>
      <c r="N46" s="6"/>
      <c r="O46" s="6"/>
    </row>
    <row r="47" spans="1:17" ht="17.399999999999999" hidden="1">
      <c r="B47" s="5"/>
      <c r="C47" s="6"/>
      <c r="D47" s="6"/>
      <c r="E47" s="6"/>
      <c r="F47" s="6"/>
      <c r="G47" s="6"/>
      <c r="H47" s="6"/>
      <c r="I47" s="6"/>
      <c r="J47" s="6"/>
      <c r="K47" s="6"/>
      <c r="L47" s="6"/>
      <c r="M47" s="6"/>
      <c r="N47" s="6"/>
      <c r="O47" s="6"/>
    </row>
    <row r="48" spans="1:17" ht="17.399999999999999" hidden="1">
      <c r="B48" s="5" t="s">
        <v>46</v>
      </c>
      <c r="C48" s="6"/>
      <c r="D48" s="6"/>
      <c r="E48" s="6"/>
      <c r="F48" s="6"/>
      <c r="G48" s="6"/>
      <c r="H48" s="6"/>
      <c r="I48" s="6"/>
      <c r="J48" s="6"/>
      <c r="K48" s="6"/>
      <c r="L48" s="6"/>
      <c r="M48" s="6"/>
      <c r="N48" s="6"/>
      <c r="O48" s="6"/>
    </row>
    <row r="49" hidden="1"/>
  </sheetData>
  <mergeCells count="4">
    <mergeCell ref="A1:M1"/>
    <mergeCell ref="A2:M2"/>
    <mergeCell ref="A3:M3"/>
    <mergeCell ref="A4:M4"/>
  </mergeCells>
  <phoneticPr fontId="3" type="noConversion"/>
  <conditionalFormatting sqref="J54">
    <cfRule type="colorScale" priority="1">
      <colorScale>
        <cfvo type="min"/>
        <cfvo type="percentile" val="50"/>
        <cfvo type="max"/>
        <color rgb="FFF8696B"/>
        <color rgb="FFFFEB84"/>
        <color rgb="FF63BE7B"/>
      </colorScale>
    </cfRule>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63A53-A6F0-3C46-8002-E2243A3B1E54}">
  <dimension ref="A1:Q46"/>
  <sheetViews>
    <sheetView workbookViewId="0">
      <selection activeCell="G49" sqref="G49"/>
    </sheetView>
  </sheetViews>
  <sheetFormatPr baseColWidth="10" defaultRowHeight="15.6"/>
  <cols>
    <col min="1" max="1" width="26.296875" bestFit="1" customWidth="1"/>
    <col min="10" max="13" width="11.796875" customWidth="1"/>
    <col min="14" max="14" width="12" bestFit="1" customWidth="1"/>
    <col min="15" max="15" width="0" hidden="1" customWidth="1"/>
  </cols>
  <sheetData>
    <row r="1" spans="1:17">
      <c r="A1" s="61" t="s">
        <v>168</v>
      </c>
      <c r="B1" s="61"/>
      <c r="C1" s="61"/>
      <c r="D1" s="61"/>
      <c r="E1" s="61"/>
      <c r="F1" s="61"/>
      <c r="G1" s="61"/>
      <c r="H1" s="61"/>
      <c r="I1" s="61"/>
      <c r="J1" s="61"/>
      <c r="K1" s="61"/>
      <c r="L1" s="61"/>
      <c r="M1" s="61"/>
      <c r="N1" s="62"/>
    </row>
    <row r="2" spans="1:17">
      <c r="A2" s="61" t="s">
        <v>175</v>
      </c>
      <c r="B2" s="61"/>
      <c r="C2" s="61"/>
      <c r="D2" s="61"/>
      <c r="E2" s="61"/>
      <c r="F2" s="61"/>
      <c r="G2" s="61"/>
      <c r="H2" s="61"/>
      <c r="I2" s="61"/>
      <c r="J2" s="61"/>
      <c r="K2" s="61"/>
      <c r="L2" s="61"/>
      <c r="M2" s="61"/>
      <c r="N2" s="61"/>
    </row>
    <row r="3" spans="1:17">
      <c r="A3" s="61" t="s">
        <v>172</v>
      </c>
      <c r="B3" s="61"/>
      <c r="C3" s="61"/>
      <c r="D3" s="61"/>
      <c r="E3" s="61"/>
      <c r="F3" s="61"/>
      <c r="G3" s="61"/>
      <c r="H3" s="61"/>
      <c r="I3" s="61"/>
      <c r="J3" s="61"/>
      <c r="K3" s="61"/>
      <c r="L3" s="61"/>
      <c r="M3" s="61"/>
      <c r="N3" s="61"/>
    </row>
    <row r="4" spans="1:17" hidden="1">
      <c r="A4" s="61" t="s">
        <v>171</v>
      </c>
      <c r="B4" s="61"/>
      <c r="C4" s="61"/>
      <c r="D4" s="61"/>
      <c r="E4" s="61"/>
      <c r="F4" s="61"/>
      <c r="G4" s="61"/>
      <c r="H4" s="61"/>
      <c r="I4" s="61"/>
      <c r="J4" s="61"/>
      <c r="K4" s="61"/>
      <c r="L4" s="61"/>
      <c r="M4" s="61"/>
      <c r="N4" s="63"/>
    </row>
    <row r="5" spans="1:17">
      <c r="A5" s="61" t="s">
        <v>171</v>
      </c>
      <c r="B5" s="61"/>
      <c r="C5" s="61"/>
      <c r="D5" s="61"/>
      <c r="E5" s="61"/>
      <c r="F5" s="61"/>
      <c r="G5" s="61"/>
      <c r="H5" s="61"/>
      <c r="I5" s="61"/>
      <c r="J5" s="61"/>
      <c r="K5" s="61"/>
      <c r="L5" s="61"/>
      <c r="M5" s="61"/>
      <c r="N5" s="61"/>
      <c r="O5" s="54"/>
      <c r="P5" s="54"/>
      <c r="Q5" s="54"/>
    </row>
    <row r="6" spans="1:17" hidden="1">
      <c r="A6" s="20" t="s">
        <v>1</v>
      </c>
      <c r="B6" s="20"/>
      <c r="C6" s="20"/>
      <c r="D6" s="20"/>
      <c r="E6" s="20"/>
      <c r="F6" s="20"/>
      <c r="G6" s="20"/>
      <c r="H6" s="20"/>
      <c r="I6" s="20"/>
      <c r="J6" s="20"/>
      <c r="K6" s="20"/>
      <c r="L6" s="20"/>
      <c r="M6" s="20"/>
      <c r="O6">
        <v>0.4</v>
      </c>
    </row>
    <row r="7" spans="1:17">
      <c r="A7" s="104" t="s">
        <v>179</v>
      </c>
      <c r="B7" s="92" t="s">
        <v>6</v>
      </c>
      <c r="C7" s="92" t="s">
        <v>183</v>
      </c>
      <c r="D7" s="92" t="s">
        <v>8</v>
      </c>
      <c r="E7" s="92" t="s">
        <v>9</v>
      </c>
      <c r="F7" s="92" t="s">
        <v>10</v>
      </c>
      <c r="G7" s="92" t="s">
        <v>11</v>
      </c>
      <c r="H7" s="92" t="s">
        <v>12</v>
      </c>
      <c r="I7" s="92" t="s">
        <v>13</v>
      </c>
      <c r="J7" s="92" t="s">
        <v>14</v>
      </c>
      <c r="K7" s="92" t="s">
        <v>15</v>
      </c>
      <c r="L7" s="92" t="s">
        <v>16</v>
      </c>
      <c r="M7" s="92" t="s">
        <v>17</v>
      </c>
      <c r="N7" s="92" t="s">
        <v>99</v>
      </c>
      <c r="O7">
        <v>0.2</v>
      </c>
    </row>
    <row r="8" spans="1:17">
      <c r="A8" s="105"/>
      <c r="B8" s="106" t="s">
        <v>6</v>
      </c>
      <c r="C8" s="106" t="s">
        <v>7</v>
      </c>
      <c r="D8" s="106" t="s">
        <v>8</v>
      </c>
      <c r="E8" s="106" t="s">
        <v>9</v>
      </c>
      <c r="F8" s="106" t="s">
        <v>10</v>
      </c>
      <c r="G8" s="106" t="s">
        <v>11</v>
      </c>
      <c r="H8" s="106" t="s">
        <v>12</v>
      </c>
      <c r="I8" s="106" t="s">
        <v>13</v>
      </c>
      <c r="J8" s="106" t="s">
        <v>14</v>
      </c>
      <c r="K8" s="106" t="s">
        <v>15</v>
      </c>
      <c r="L8" s="106" t="s">
        <v>16</v>
      </c>
      <c r="M8" s="106" t="s">
        <v>17</v>
      </c>
      <c r="N8" s="107" t="s">
        <v>18</v>
      </c>
      <c r="O8">
        <v>0.4</v>
      </c>
    </row>
    <row r="9" spans="1:17" hidden="1">
      <c r="A9" s="81" t="s">
        <v>5</v>
      </c>
      <c r="B9" s="80"/>
      <c r="C9" s="80"/>
      <c r="D9" s="80"/>
      <c r="E9" s="80"/>
      <c r="F9" s="80"/>
      <c r="G9" s="80"/>
      <c r="H9" s="80"/>
      <c r="I9" s="80"/>
      <c r="J9" s="80"/>
      <c r="K9" s="80"/>
      <c r="L9" s="80"/>
      <c r="M9" s="80"/>
      <c r="N9" s="80"/>
    </row>
    <row r="10" spans="1:17" hidden="1">
      <c r="A10" s="82"/>
      <c r="B10" s="96">
        <v>588</v>
      </c>
      <c r="C10" s="80">
        <v>665</v>
      </c>
      <c r="D10" s="80">
        <v>665</v>
      </c>
      <c r="E10" s="80">
        <v>665</v>
      </c>
      <c r="F10" s="80">
        <v>679</v>
      </c>
      <c r="G10" s="80">
        <v>665</v>
      </c>
      <c r="H10" s="80">
        <v>665</v>
      </c>
      <c r="I10" s="80">
        <v>665</v>
      </c>
      <c r="J10" s="80">
        <v>490</v>
      </c>
      <c r="K10" s="80">
        <v>595</v>
      </c>
      <c r="L10" s="80">
        <v>665</v>
      </c>
      <c r="M10" s="80">
        <v>686</v>
      </c>
      <c r="N10" s="96">
        <f>SUM(B10:M10)</f>
        <v>7693</v>
      </c>
    </row>
    <row r="11" spans="1:17">
      <c r="A11" s="97" t="s">
        <v>85</v>
      </c>
      <c r="B11" s="97">
        <f>B10*O6</f>
        <v>235.20000000000002</v>
      </c>
      <c r="C11" s="97">
        <f>C10*O6</f>
        <v>266</v>
      </c>
      <c r="D11" s="98">
        <f>D10*O6</f>
        <v>266</v>
      </c>
      <c r="E11" s="98">
        <f>E10*O6</f>
        <v>266</v>
      </c>
      <c r="F11" s="98">
        <f>F10*O6</f>
        <v>271.60000000000002</v>
      </c>
      <c r="G11" s="98">
        <f>G10*O6</f>
        <v>266</v>
      </c>
      <c r="H11" s="98">
        <f>H10*O6</f>
        <v>266</v>
      </c>
      <c r="I11" s="98">
        <f>I10*O6</f>
        <v>266</v>
      </c>
      <c r="J11" s="98">
        <f>J10*O6</f>
        <v>196</v>
      </c>
      <c r="K11" s="98">
        <f>K10*O6</f>
        <v>238</v>
      </c>
      <c r="L11" s="98">
        <f>L10*O6</f>
        <v>266</v>
      </c>
      <c r="M11" s="98">
        <f>M10*O6</f>
        <v>274.40000000000003</v>
      </c>
      <c r="N11" s="98">
        <f>SUM(B11:M11)</f>
        <v>3077.2000000000003</v>
      </c>
    </row>
    <row r="12" spans="1:17">
      <c r="A12" s="97" t="s">
        <v>86</v>
      </c>
      <c r="B12" s="97">
        <f>B10*O7</f>
        <v>117.60000000000001</v>
      </c>
      <c r="C12" s="97">
        <f>C10*O7</f>
        <v>133</v>
      </c>
      <c r="D12" s="98">
        <f>D10*O7</f>
        <v>133</v>
      </c>
      <c r="E12" s="98">
        <f>E10*O7</f>
        <v>133</v>
      </c>
      <c r="F12" s="98">
        <f>F10*O7</f>
        <v>135.80000000000001</v>
      </c>
      <c r="G12" s="98">
        <f>G10*O7</f>
        <v>133</v>
      </c>
      <c r="H12" s="98">
        <f>H10*O7</f>
        <v>133</v>
      </c>
      <c r="I12" s="98">
        <f>I10*O7</f>
        <v>133</v>
      </c>
      <c r="J12" s="98">
        <f>J10*O7</f>
        <v>98</v>
      </c>
      <c r="K12" s="98">
        <f>K10*O7</f>
        <v>119</v>
      </c>
      <c r="L12" s="98">
        <f>L10*O7</f>
        <v>133</v>
      </c>
      <c r="M12" s="98">
        <f>M10*O7</f>
        <v>137.20000000000002</v>
      </c>
      <c r="N12" s="98">
        <f>SUM(B12:M12)</f>
        <v>1538.6000000000001</v>
      </c>
    </row>
    <row r="13" spans="1:17">
      <c r="A13" s="97" t="s">
        <v>87</v>
      </c>
      <c r="B13" s="97">
        <f>B10*O8</f>
        <v>235.20000000000002</v>
      </c>
      <c r="C13" s="97">
        <f>C10*O8</f>
        <v>266</v>
      </c>
      <c r="D13" s="98">
        <f>D10*O8</f>
        <v>266</v>
      </c>
      <c r="E13" s="98">
        <f>E10*O8</f>
        <v>266</v>
      </c>
      <c r="F13" s="98">
        <f>F10*O8</f>
        <v>271.60000000000002</v>
      </c>
      <c r="G13" s="98">
        <f>G10*O8</f>
        <v>266</v>
      </c>
      <c r="H13" s="98">
        <f>H10*O8</f>
        <v>266</v>
      </c>
      <c r="I13" s="98">
        <f>I10*O8</f>
        <v>266</v>
      </c>
      <c r="J13" s="98">
        <f>J10*O8</f>
        <v>196</v>
      </c>
      <c r="K13" s="98">
        <f>K10*O8</f>
        <v>238</v>
      </c>
      <c r="L13" s="98">
        <f>L10*O8</f>
        <v>266</v>
      </c>
      <c r="M13" s="98">
        <f>M10*O8</f>
        <v>274.40000000000003</v>
      </c>
      <c r="N13" s="98">
        <f>SUM(B13:M13)</f>
        <v>3077.2000000000003</v>
      </c>
    </row>
    <row r="14" spans="1:17">
      <c r="A14" s="99" t="s">
        <v>52</v>
      </c>
      <c r="B14" s="97">
        <f>SUM(B11:B13)</f>
        <v>588</v>
      </c>
      <c r="C14" s="97">
        <f t="shared" ref="C14:M14" si="0">SUM(C11:C13)</f>
        <v>665</v>
      </c>
      <c r="D14" s="98">
        <f t="shared" si="0"/>
        <v>665</v>
      </c>
      <c r="E14" s="98">
        <f t="shared" si="0"/>
        <v>665</v>
      </c>
      <c r="F14" s="98">
        <f t="shared" si="0"/>
        <v>679</v>
      </c>
      <c r="G14" s="98">
        <f t="shared" si="0"/>
        <v>665</v>
      </c>
      <c r="H14" s="98">
        <f t="shared" si="0"/>
        <v>665</v>
      </c>
      <c r="I14" s="98">
        <f t="shared" si="0"/>
        <v>665</v>
      </c>
      <c r="J14" s="98">
        <f t="shared" si="0"/>
        <v>490</v>
      </c>
      <c r="K14" s="98">
        <f t="shared" si="0"/>
        <v>595</v>
      </c>
      <c r="L14" s="98">
        <f t="shared" si="0"/>
        <v>665</v>
      </c>
      <c r="M14" s="98">
        <f t="shared" si="0"/>
        <v>686</v>
      </c>
      <c r="N14" s="98">
        <f>SUM(N11:N13)</f>
        <v>7693</v>
      </c>
    </row>
    <row r="15" spans="1:17">
      <c r="A15" s="99" t="s">
        <v>48</v>
      </c>
      <c r="B15" s="97">
        <f>B14*0.2</f>
        <v>117.60000000000001</v>
      </c>
      <c r="C15" s="97">
        <f t="shared" ref="C15:M15" si="1">C14*0.2</f>
        <v>133</v>
      </c>
      <c r="D15" s="97">
        <f t="shared" si="1"/>
        <v>133</v>
      </c>
      <c r="E15" s="97">
        <f t="shared" si="1"/>
        <v>133</v>
      </c>
      <c r="F15" s="97">
        <f t="shared" si="1"/>
        <v>135.80000000000001</v>
      </c>
      <c r="G15" s="97">
        <f t="shared" si="1"/>
        <v>133</v>
      </c>
      <c r="H15" s="97">
        <f t="shared" si="1"/>
        <v>133</v>
      </c>
      <c r="I15" s="97">
        <f t="shared" si="1"/>
        <v>133</v>
      </c>
      <c r="J15" s="97">
        <f t="shared" si="1"/>
        <v>98</v>
      </c>
      <c r="K15" s="97">
        <f t="shared" si="1"/>
        <v>119</v>
      </c>
      <c r="L15" s="97">
        <f t="shared" si="1"/>
        <v>133</v>
      </c>
      <c r="M15" s="97">
        <f t="shared" si="1"/>
        <v>137.20000000000002</v>
      </c>
      <c r="N15" s="98">
        <f>SUM(B15:M15)</f>
        <v>1538.6000000000001</v>
      </c>
    </row>
    <row r="16" spans="1:17">
      <c r="A16" s="99" t="s">
        <v>53</v>
      </c>
      <c r="B16" s="97">
        <f>B14-B15</f>
        <v>470.4</v>
      </c>
      <c r="C16" s="97">
        <f t="shared" ref="C16:M16" si="2">C14-C15</f>
        <v>532</v>
      </c>
      <c r="D16" s="98">
        <f t="shared" si="2"/>
        <v>532</v>
      </c>
      <c r="E16" s="98">
        <f t="shared" si="2"/>
        <v>532</v>
      </c>
      <c r="F16" s="98">
        <f t="shared" si="2"/>
        <v>543.20000000000005</v>
      </c>
      <c r="G16" s="98">
        <f t="shared" si="2"/>
        <v>532</v>
      </c>
      <c r="H16" s="98">
        <f t="shared" si="2"/>
        <v>532</v>
      </c>
      <c r="I16" s="98">
        <f t="shared" si="2"/>
        <v>532</v>
      </c>
      <c r="J16" s="98">
        <f t="shared" si="2"/>
        <v>392</v>
      </c>
      <c r="K16" s="98">
        <f t="shared" si="2"/>
        <v>476</v>
      </c>
      <c r="L16" s="98">
        <f t="shared" si="2"/>
        <v>532</v>
      </c>
      <c r="M16" s="98">
        <f t="shared" si="2"/>
        <v>548.79999999999995</v>
      </c>
      <c r="N16" s="98">
        <f>SUM(B16:M16)</f>
        <v>6154.4000000000005</v>
      </c>
    </row>
    <row r="17" spans="1:16">
      <c r="A17" s="99" t="s">
        <v>150</v>
      </c>
      <c r="B17" s="97"/>
      <c r="C17" s="97"/>
      <c r="D17" s="98"/>
      <c r="E17" s="98"/>
      <c r="F17" s="98"/>
      <c r="G17" s="98"/>
      <c r="H17" s="98"/>
      <c r="I17" s="98"/>
      <c r="J17" s="98"/>
      <c r="K17" s="98"/>
      <c r="L17" s="98"/>
      <c r="M17" s="98"/>
      <c r="N17" s="98"/>
    </row>
    <row r="18" spans="1:16">
      <c r="A18" s="97" t="s">
        <v>33</v>
      </c>
      <c r="B18" s="97">
        <v>225</v>
      </c>
      <c r="C18" s="97">
        <v>225</v>
      </c>
      <c r="D18" s="98">
        <v>225</v>
      </c>
      <c r="E18" s="98">
        <v>225</v>
      </c>
      <c r="F18" s="98">
        <v>225</v>
      </c>
      <c r="G18" s="98">
        <v>225</v>
      </c>
      <c r="H18" s="98">
        <v>225</v>
      </c>
      <c r="I18" s="98">
        <v>225</v>
      </c>
      <c r="J18" s="98">
        <v>225</v>
      </c>
      <c r="K18" s="98">
        <v>225</v>
      </c>
      <c r="L18" s="98">
        <v>225</v>
      </c>
      <c r="M18" s="98">
        <v>225</v>
      </c>
      <c r="N18" s="98">
        <f>SUM(B18:M18)</f>
        <v>2700</v>
      </c>
    </row>
    <row r="19" spans="1:16">
      <c r="A19" s="97" t="s">
        <v>34</v>
      </c>
      <c r="B19" s="97">
        <f>B16*0.05</f>
        <v>23.52</v>
      </c>
      <c r="C19" s="97">
        <f t="shared" ref="C19:M19" si="3">C16*0.05</f>
        <v>26.6</v>
      </c>
      <c r="D19" s="98">
        <f t="shared" si="3"/>
        <v>26.6</v>
      </c>
      <c r="E19" s="98">
        <f t="shared" si="3"/>
        <v>26.6</v>
      </c>
      <c r="F19" s="98">
        <f t="shared" si="3"/>
        <v>27.160000000000004</v>
      </c>
      <c r="G19" s="98">
        <f t="shared" si="3"/>
        <v>26.6</v>
      </c>
      <c r="H19" s="98">
        <f t="shared" si="3"/>
        <v>26.6</v>
      </c>
      <c r="I19" s="98">
        <f t="shared" si="3"/>
        <v>26.6</v>
      </c>
      <c r="J19" s="98">
        <f t="shared" si="3"/>
        <v>19.600000000000001</v>
      </c>
      <c r="K19" s="98">
        <f t="shared" si="3"/>
        <v>23.8</v>
      </c>
      <c r="L19" s="98">
        <f t="shared" si="3"/>
        <v>26.6</v>
      </c>
      <c r="M19" s="98">
        <f t="shared" si="3"/>
        <v>27.439999999999998</v>
      </c>
      <c r="N19" s="98">
        <f>SUM(B19:M19)</f>
        <v>307.71999999999997</v>
      </c>
    </row>
    <row r="20" spans="1:16">
      <c r="A20" s="97" t="s">
        <v>35</v>
      </c>
      <c r="B20" s="97">
        <f>B14*0.2</f>
        <v>117.60000000000001</v>
      </c>
      <c r="C20" s="97">
        <f t="shared" ref="C20:M20" si="4">C14*0.2</f>
        <v>133</v>
      </c>
      <c r="D20" s="98">
        <f>D14*0.2</f>
        <v>133</v>
      </c>
      <c r="E20" s="98">
        <f t="shared" si="4"/>
        <v>133</v>
      </c>
      <c r="F20" s="98">
        <f>F14*0.2</f>
        <v>135.80000000000001</v>
      </c>
      <c r="G20" s="98">
        <f t="shared" si="4"/>
        <v>133</v>
      </c>
      <c r="H20" s="98">
        <f t="shared" si="4"/>
        <v>133</v>
      </c>
      <c r="I20" s="98">
        <f t="shared" si="4"/>
        <v>133</v>
      </c>
      <c r="J20" s="98">
        <f t="shared" si="4"/>
        <v>98</v>
      </c>
      <c r="K20" s="98">
        <f t="shared" si="4"/>
        <v>119</v>
      </c>
      <c r="L20" s="98">
        <f t="shared" si="4"/>
        <v>133</v>
      </c>
      <c r="M20" s="98">
        <f t="shared" si="4"/>
        <v>137.20000000000002</v>
      </c>
      <c r="N20" s="98">
        <f>SUM(B20:M20)</f>
        <v>1538.6000000000001</v>
      </c>
    </row>
    <row r="21" spans="1:16">
      <c r="A21" s="97" t="s">
        <v>36</v>
      </c>
      <c r="B21" s="97">
        <f>B16*0.1</f>
        <v>47.04</v>
      </c>
      <c r="C21" s="97">
        <f>C16*0.1</f>
        <v>53.2</v>
      </c>
      <c r="D21" s="100">
        <f>D16*0.1</f>
        <v>53.2</v>
      </c>
      <c r="E21" s="100">
        <f>E16*0.1</f>
        <v>53.2</v>
      </c>
      <c r="F21" s="100">
        <f>F16*0.1</f>
        <v>54.320000000000007</v>
      </c>
      <c r="G21" s="100">
        <f>G16*0.1</f>
        <v>53.2</v>
      </c>
      <c r="H21" s="100">
        <f>H16*0.1</f>
        <v>53.2</v>
      </c>
      <c r="I21" s="100">
        <f>I16*0.1</f>
        <v>53.2</v>
      </c>
      <c r="J21" s="100">
        <f>J16*0.1</f>
        <v>39.200000000000003</v>
      </c>
      <c r="K21" s="100">
        <f>K16*0.1</f>
        <v>47.6</v>
      </c>
      <c r="L21" s="100">
        <f>L16*0.1</f>
        <v>53.2</v>
      </c>
      <c r="M21" s="100">
        <f>M16*0.1</f>
        <v>54.879999999999995</v>
      </c>
      <c r="N21" s="98">
        <f>SUM(B21:M21)</f>
        <v>615.43999999999994</v>
      </c>
    </row>
    <row r="22" spans="1:16" ht="15" hidden="1" customHeight="1">
      <c r="A22" s="97" t="s">
        <v>37</v>
      </c>
      <c r="B22" s="97"/>
      <c r="C22" s="97"/>
      <c r="D22" s="100"/>
      <c r="E22" s="100"/>
      <c r="F22" s="100"/>
      <c r="G22" s="100"/>
      <c r="H22" s="100"/>
      <c r="I22" s="100"/>
      <c r="J22" s="101"/>
      <c r="K22" s="100"/>
      <c r="L22" s="100"/>
      <c r="M22" s="100"/>
      <c r="N22" s="98"/>
    </row>
    <row r="23" spans="1:16" hidden="1">
      <c r="A23" s="102" t="s">
        <v>38</v>
      </c>
      <c r="B23" s="102"/>
      <c r="C23" s="102"/>
      <c r="D23" s="100"/>
      <c r="E23" s="100"/>
      <c r="F23" s="100"/>
      <c r="G23" s="100"/>
      <c r="H23" s="100"/>
      <c r="I23" s="100"/>
      <c r="J23" s="101"/>
      <c r="K23" s="100"/>
      <c r="L23" s="100"/>
      <c r="M23" s="100"/>
      <c r="N23" s="98"/>
    </row>
    <row r="24" spans="1:16" hidden="1">
      <c r="A24" s="97"/>
      <c r="B24" s="97"/>
      <c r="C24" s="97"/>
      <c r="D24" s="100"/>
      <c r="E24" s="100"/>
      <c r="F24" s="100"/>
      <c r="G24" s="100"/>
      <c r="H24" s="100"/>
      <c r="I24" s="100"/>
      <c r="J24" s="101"/>
      <c r="K24" s="100"/>
      <c r="L24" s="100"/>
      <c r="M24" s="100"/>
      <c r="N24" s="98"/>
    </row>
    <row r="25" spans="1:16">
      <c r="A25" s="97" t="s">
        <v>151</v>
      </c>
      <c r="B25" s="97">
        <v>26.94</v>
      </c>
      <c r="C25" s="97">
        <v>26.94</v>
      </c>
      <c r="D25" s="100">
        <v>26.94</v>
      </c>
      <c r="E25" s="100">
        <v>26.94</v>
      </c>
      <c r="F25" s="100">
        <v>26.94</v>
      </c>
      <c r="G25" s="100">
        <v>26.94</v>
      </c>
      <c r="H25" s="100">
        <v>26.94</v>
      </c>
      <c r="I25" s="100">
        <v>26.94</v>
      </c>
      <c r="J25" s="100">
        <v>26.94</v>
      </c>
      <c r="K25" s="100">
        <v>26.94</v>
      </c>
      <c r="L25" s="100">
        <v>26.94</v>
      </c>
      <c r="M25" s="100">
        <v>26.94</v>
      </c>
      <c r="N25" s="98">
        <f>SUM(B25:M25)</f>
        <v>323.28000000000003</v>
      </c>
    </row>
    <row r="26" spans="1:16">
      <c r="A26" s="97" t="s">
        <v>161</v>
      </c>
      <c r="B26" s="97">
        <v>30.75</v>
      </c>
      <c r="C26" s="97">
        <v>30.75</v>
      </c>
      <c r="D26" s="97">
        <v>30.75</v>
      </c>
      <c r="E26" s="97">
        <v>30.75</v>
      </c>
      <c r="F26" s="97">
        <v>30.75</v>
      </c>
      <c r="G26" s="97">
        <v>30.75</v>
      </c>
      <c r="H26" s="97">
        <v>30.75</v>
      </c>
      <c r="I26" s="97">
        <v>30.75</v>
      </c>
      <c r="J26" s="97">
        <v>30.75</v>
      </c>
      <c r="K26" s="97">
        <v>30.75</v>
      </c>
      <c r="L26" s="97">
        <v>30.75</v>
      </c>
      <c r="M26" s="97">
        <v>30.75</v>
      </c>
      <c r="N26" s="98">
        <f>SUM(B26:M26)</f>
        <v>369</v>
      </c>
    </row>
    <row r="27" spans="1:16">
      <c r="A27" s="99" t="s">
        <v>39</v>
      </c>
      <c r="B27" s="97">
        <f>B18+B19+B20+B21</f>
        <v>413.16</v>
      </c>
      <c r="C27" s="97">
        <f>C18+C19+C20+C21</f>
        <v>437.8</v>
      </c>
      <c r="D27" s="98">
        <f>D18+D19+D20+D21</f>
        <v>437.8</v>
      </c>
      <c r="E27" s="98">
        <f>E18+E19+E20+E21</f>
        <v>437.8</v>
      </c>
      <c r="F27" s="98">
        <f>F18+F19+F20+F21</f>
        <v>442.28000000000003</v>
      </c>
      <c r="G27" s="98">
        <f>G18+G19+G20+G21</f>
        <v>437.8</v>
      </c>
      <c r="H27" s="98">
        <f>H18+H19+H20+H21</f>
        <v>437.8</v>
      </c>
      <c r="I27" s="98">
        <f>I18+I19+I20+I21</f>
        <v>437.8</v>
      </c>
      <c r="J27" s="98">
        <f>J18+J19+J20+J21</f>
        <v>381.8</v>
      </c>
      <c r="K27" s="98">
        <f>K18+K19+K20+K21</f>
        <v>415.40000000000003</v>
      </c>
      <c r="L27" s="98">
        <f>L18+L19+L20+L21</f>
        <v>437.8</v>
      </c>
      <c r="M27" s="98">
        <f>M18+M19+M20+M21</f>
        <v>444.52</v>
      </c>
      <c r="N27" s="98">
        <f>SUM(N18:N26)</f>
        <v>5854.0399999999991</v>
      </c>
    </row>
    <row r="28" spans="1:16">
      <c r="A28" s="99" t="s">
        <v>51</v>
      </c>
      <c r="B28" s="97">
        <f>B16-B27</f>
        <v>57.239999999999952</v>
      </c>
      <c r="C28" s="97">
        <f>C16-C27</f>
        <v>94.199999999999989</v>
      </c>
      <c r="D28" s="98">
        <f>D16-D27</f>
        <v>94.199999999999989</v>
      </c>
      <c r="E28" s="98">
        <f>E16-E27</f>
        <v>94.199999999999989</v>
      </c>
      <c r="F28" s="98">
        <f>F16-F27</f>
        <v>100.92000000000002</v>
      </c>
      <c r="G28" s="98">
        <f>G16-G27</f>
        <v>94.199999999999989</v>
      </c>
      <c r="H28" s="98">
        <f>H16-H27</f>
        <v>94.199999999999989</v>
      </c>
      <c r="I28" s="98">
        <f>I16-I27</f>
        <v>94.199999999999989</v>
      </c>
      <c r="J28" s="98">
        <f>J16-J27</f>
        <v>10.199999999999989</v>
      </c>
      <c r="K28" s="98">
        <f>K16-K27</f>
        <v>60.599999999999966</v>
      </c>
      <c r="L28" s="98">
        <f>L16-L27</f>
        <v>94.199999999999989</v>
      </c>
      <c r="M28" s="98">
        <f>M16-M27</f>
        <v>104.27999999999997</v>
      </c>
      <c r="N28" s="103">
        <f>N16-N27</f>
        <v>300.36000000000149</v>
      </c>
    </row>
    <row r="29" spans="1:16">
      <c r="A29" s="97" t="s">
        <v>40</v>
      </c>
      <c r="B29" s="97">
        <f>B28*0.2</f>
        <v>11.447999999999992</v>
      </c>
      <c r="C29" s="97">
        <f t="shared" ref="C29:M29" si="5">C28*0.2</f>
        <v>18.84</v>
      </c>
      <c r="D29" s="98">
        <f t="shared" si="5"/>
        <v>18.84</v>
      </c>
      <c r="E29" s="98">
        <f t="shared" si="5"/>
        <v>18.84</v>
      </c>
      <c r="F29" s="98">
        <f t="shared" si="5"/>
        <v>20.184000000000005</v>
      </c>
      <c r="G29" s="98">
        <f t="shared" si="5"/>
        <v>18.84</v>
      </c>
      <c r="H29" s="98">
        <f t="shared" si="5"/>
        <v>18.84</v>
      </c>
      <c r="I29" s="98">
        <f t="shared" si="5"/>
        <v>18.84</v>
      </c>
      <c r="J29" s="98">
        <f t="shared" si="5"/>
        <v>2.0399999999999978</v>
      </c>
      <c r="K29" s="98">
        <f t="shared" si="5"/>
        <v>12.119999999999994</v>
      </c>
      <c r="L29" s="98">
        <f t="shared" si="5"/>
        <v>18.84</v>
      </c>
      <c r="M29" s="98">
        <f t="shared" si="5"/>
        <v>20.855999999999995</v>
      </c>
      <c r="N29" s="98">
        <f>SUM(B29:M29)</f>
        <v>198.52799999999999</v>
      </c>
    </row>
    <row r="30" spans="1:16">
      <c r="A30" s="99" t="s">
        <v>41</v>
      </c>
      <c r="B30" s="97">
        <f>B28-B29</f>
        <v>45.791999999999959</v>
      </c>
      <c r="C30" s="97">
        <f t="shared" ref="C30:M30" si="6">C28-C29</f>
        <v>75.359999999999985</v>
      </c>
      <c r="D30" s="98">
        <f t="shared" si="6"/>
        <v>75.359999999999985</v>
      </c>
      <c r="E30" s="98">
        <f t="shared" si="6"/>
        <v>75.359999999999985</v>
      </c>
      <c r="F30" s="98">
        <f t="shared" si="6"/>
        <v>80.736000000000018</v>
      </c>
      <c r="G30" s="98">
        <f t="shared" si="6"/>
        <v>75.359999999999985</v>
      </c>
      <c r="H30" s="98">
        <f t="shared" si="6"/>
        <v>75.359999999999985</v>
      </c>
      <c r="I30" s="98">
        <f t="shared" si="6"/>
        <v>75.359999999999985</v>
      </c>
      <c r="J30" s="98">
        <f t="shared" si="6"/>
        <v>8.1599999999999913</v>
      </c>
      <c r="K30" s="98">
        <f t="shared" si="6"/>
        <v>48.479999999999976</v>
      </c>
      <c r="L30" s="98">
        <f t="shared" si="6"/>
        <v>75.359999999999985</v>
      </c>
      <c r="M30" s="98">
        <f t="shared" si="6"/>
        <v>83.423999999999978</v>
      </c>
      <c r="N30" s="98">
        <f>SUM(B30:M30)</f>
        <v>794.11199999999997</v>
      </c>
    </row>
    <row r="31" spans="1:16">
      <c r="A31" s="99" t="s">
        <v>88</v>
      </c>
      <c r="B31" s="97">
        <f>B28/B14</f>
        <v>9.7346938775510122E-2</v>
      </c>
      <c r="C31" s="97">
        <f>C28/C14</f>
        <v>0.14165413533834584</v>
      </c>
      <c r="D31" s="98">
        <f>D28/D14</f>
        <v>0.14165413533834584</v>
      </c>
      <c r="E31" s="98">
        <f>E28/E14</f>
        <v>0.14165413533834584</v>
      </c>
      <c r="F31" s="98">
        <f>F28/F14</f>
        <v>0.14863033873343154</v>
      </c>
      <c r="G31" s="98">
        <f>G28/G14</f>
        <v>0.14165413533834584</v>
      </c>
      <c r="H31" s="98">
        <f>H28/H14</f>
        <v>0.14165413533834584</v>
      </c>
      <c r="I31" s="98">
        <f>I28/I14</f>
        <v>0.14165413533834584</v>
      </c>
      <c r="J31" s="98">
        <f>J28/J14</f>
        <v>2.081632653061222E-2</v>
      </c>
      <c r="K31" s="98">
        <f>K28/K14</f>
        <v>0.10184873949579826</v>
      </c>
      <c r="L31" s="98">
        <f>L28/L14</f>
        <v>0.14165413533834584</v>
      </c>
      <c r="M31" s="98">
        <f>M28/M14</f>
        <v>0.15201166180758013</v>
      </c>
      <c r="N31" s="110">
        <f>N28/N14</f>
        <v>3.9043286104250813E-2</v>
      </c>
      <c r="O31" s="6"/>
      <c r="P31" s="6"/>
    </row>
    <row r="32" spans="1:16" hidden="1">
      <c r="N32" s="6"/>
      <c r="O32" s="6"/>
      <c r="P32" s="6"/>
    </row>
    <row r="33" spans="1:16" hidden="1">
      <c r="N33" s="6"/>
      <c r="O33" s="6"/>
      <c r="P33" s="6"/>
    </row>
    <row r="34" spans="1:16" hidden="1">
      <c r="N34" s="6"/>
      <c r="O34" s="6"/>
      <c r="P34" s="6"/>
    </row>
    <row r="35" spans="1:16" hidden="1">
      <c r="N35" s="6"/>
      <c r="O35" s="6"/>
      <c r="P35" s="6"/>
    </row>
    <row r="36" spans="1:16" ht="17.399999999999999" hidden="1">
      <c r="H36" s="5" t="s">
        <v>43</v>
      </c>
      <c r="I36" s="6"/>
      <c r="J36" s="6"/>
      <c r="K36" s="6"/>
      <c r="L36" s="6"/>
      <c r="M36" s="6"/>
      <c r="N36" s="6"/>
      <c r="O36" s="6"/>
      <c r="P36" s="6"/>
    </row>
    <row r="37" spans="1:16" hidden="1">
      <c r="H37" s="7"/>
      <c r="I37" s="6"/>
      <c r="J37" s="6"/>
      <c r="K37" s="6"/>
      <c r="L37" s="6"/>
      <c r="M37" s="6"/>
      <c r="N37" s="6"/>
      <c r="O37" s="6"/>
      <c r="P37" s="6"/>
    </row>
    <row r="38" spans="1:16" hidden="1">
      <c r="A38" s="55"/>
      <c r="H38" s="7" t="s">
        <v>44</v>
      </c>
      <c r="I38" s="6"/>
      <c r="J38" s="6"/>
      <c r="K38" s="6"/>
      <c r="L38" s="6"/>
      <c r="M38" s="6"/>
      <c r="N38" s="6"/>
      <c r="O38" s="6"/>
      <c r="P38" s="6"/>
    </row>
    <row r="39" spans="1:16" hidden="1">
      <c r="H39" s="8"/>
      <c r="I39" s="6"/>
      <c r="J39" s="6"/>
      <c r="K39" s="6"/>
      <c r="L39" s="6"/>
      <c r="M39" s="6"/>
      <c r="N39" s="6"/>
      <c r="O39" s="6"/>
      <c r="P39" s="6"/>
    </row>
    <row r="40" spans="1:16" hidden="1">
      <c r="H40" s="9" t="s">
        <v>47</v>
      </c>
      <c r="I40" s="6"/>
      <c r="J40" s="6"/>
      <c r="K40" s="6"/>
      <c r="L40" s="6"/>
      <c r="M40" s="6"/>
      <c r="N40" s="6"/>
      <c r="O40" s="6"/>
      <c r="P40" s="6"/>
    </row>
    <row r="41" spans="1:16" hidden="1">
      <c r="H41" s="9" t="s">
        <v>42</v>
      </c>
      <c r="I41" s="6"/>
      <c r="J41" s="6"/>
      <c r="K41" s="6"/>
      <c r="L41" s="6"/>
      <c r="M41" s="6"/>
      <c r="N41" s="6"/>
      <c r="O41" s="6"/>
      <c r="P41" s="6"/>
    </row>
    <row r="42" spans="1:16" hidden="1">
      <c r="H42" s="9" t="s">
        <v>49</v>
      </c>
      <c r="I42" s="6"/>
      <c r="J42" s="6"/>
      <c r="K42" s="6"/>
      <c r="L42" s="6"/>
      <c r="M42" s="6"/>
      <c r="N42" s="6"/>
    </row>
    <row r="43" spans="1:16" hidden="1">
      <c r="H43" s="9" t="s">
        <v>50</v>
      </c>
      <c r="I43" s="6"/>
      <c r="J43" s="6"/>
      <c r="K43" s="6"/>
      <c r="L43" s="6"/>
      <c r="M43" s="6"/>
    </row>
    <row r="44" spans="1:16" hidden="1">
      <c r="H44" s="9" t="s">
        <v>45</v>
      </c>
      <c r="I44" s="6"/>
      <c r="J44" s="6"/>
      <c r="K44" s="6"/>
      <c r="L44" s="6"/>
      <c r="M44" s="6"/>
    </row>
    <row r="45" spans="1:16" ht="17.399999999999999" hidden="1">
      <c r="H45" s="5"/>
      <c r="I45" s="6"/>
      <c r="J45" s="6"/>
      <c r="K45" s="6"/>
      <c r="L45" s="6"/>
      <c r="M45" s="6"/>
    </row>
    <row r="46" spans="1:16" ht="17.399999999999999" hidden="1">
      <c r="H46" s="5" t="s">
        <v>46</v>
      </c>
      <c r="I46" s="6"/>
      <c r="J46" s="6"/>
      <c r="K46" s="6"/>
      <c r="L46" s="6"/>
      <c r="M46" s="6"/>
    </row>
  </sheetData>
  <mergeCells count="6">
    <mergeCell ref="A23:C23"/>
    <mergeCell ref="A4:M4"/>
    <mergeCell ref="A5:N5"/>
    <mergeCell ref="A3:N3"/>
    <mergeCell ref="A2:N2"/>
    <mergeCell ref="A1:N1"/>
  </mergeCells>
  <phoneticPr fontId="3"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29A8-6892-DD42-8CFE-7132A2C6914D}">
  <dimension ref="A1:O33"/>
  <sheetViews>
    <sheetView workbookViewId="0">
      <selection activeCell="P11" sqref="P11"/>
    </sheetView>
  </sheetViews>
  <sheetFormatPr baseColWidth="10" defaultRowHeight="15.6"/>
  <cols>
    <col min="1" max="1" width="27.19921875" bestFit="1" customWidth="1"/>
    <col min="14" max="14" width="13.3984375" customWidth="1"/>
    <col min="15" max="15" width="0" hidden="1" customWidth="1"/>
  </cols>
  <sheetData>
    <row r="1" spans="1:15">
      <c r="A1" s="60" t="s">
        <v>168</v>
      </c>
      <c r="B1" s="60"/>
      <c r="C1" s="60"/>
      <c r="D1" s="60"/>
      <c r="E1" s="60"/>
      <c r="F1" s="60"/>
      <c r="G1" s="60"/>
      <c r="H1" s="60"/>
      <c r="I1" s="60"/>
      <c r="J1" s="60"/>
      <c r="K1" s="60"/>
      <c r="L1" s="60"/>
      <c r="M1" s="60"/>
      <c r="N1" s="64"/>
    </row>
    <row r="2" spans="1:15">
      <c r="A2" s="60" t="s">
        <v>175</v>
      </c>
      <c r="B2" s="60"/>
      <c r="C2" s="60"/>
      <c r="D2" s="60"/>
      <c r="E2" s="60"/>
      <c r="F2" s="60"/>
      <c r="G2" s="60"/>
      <c r="H2" s="60"/>
      <c r="I2" s="60"/>
      <c r="J2" s="60"/>
      <c r="K2" s="60"/>
      <c r="L2" s="60"/>
      <c r="M2" s="60"/>
      <c r="N2" s="60"/>
    </row>
    <row r="3" spans="1:15">
      <c r="A3" s="60" t="s">
        <v>173</v>
      </c>
      <c r="B3" s="60"/>
      <c r="C3" s="60"/>
      <c r="D3" s="60"/>
      <c r="E3" s="60"/>
      <c r="F3" s="60"/>
      <c r="G3" s="60"/>
      <c r="H3" s="60"/>
      <c r="I3" s="60"/>
      <c r="J3" s="60"/>
      <c r="K3" s="60"/>
      <c r="L3" s="60"/>
      <c r="M3" s="60"/>
      <c r="N3" s="60"/>
    </row>
    <row r="4" spans="1:15">
      <c r="A4" s="60" t="s">
        <v>171</v>
      </c>
      <c r="B4" s="60"/>
      <c r="C4" s="60"/>
      <c r="D4" s="60"/>
      <c r="E4" s="60"/>
      <c r="F4" s="60"/>
      <c r="G4" s="60"/>
      <c r="H4" s="60"/>
      <c r="I4" s="60"/>
      <c r="J4" s="60"/>
      <c r="K4" s="60"/>
      <c r="L4" s="60"/>
      <c r="M4" s="60"/>
      <c r="N4" s="60"/>
    </row>
    <row r="5" spans="1:15">
      <c r="A5" s="53"/>
      <c r="B5" s="53"/>
      <c r="C5" s="53"/>
      <c r="D5" s="53"/>
      <c r="E5" s="53"/>
      <c r="F5" s="53"/>
      <c r="G5" s="53"/>
      <c r="H5" s="53"/>
      <c r="I5" s="53"/>
      <c r="J5" s="53"/>
      <c r="K5" s="53"/>
      <c r="L5" s="53"/>
      <c r="M5" s="53"/>
      <c r="N5" s="53"/>
    </row>
    <row r="6" spans="1:15">
      <c r="A6" s="112" t="s">
        <v>179</v>
      </c>
      <c r="B6" s="113" t="s">
        <v>6</v>
      </c>
      <c r="C6" s="113" t="s">
        <v>7</v>
      </c>
      <c r="D6" s="113" t="s">
        <v>8</v>
      </c>
      <c r="E6" s="113" t="s">
        <v>9</v>
      </c>
      <c r="F6" s="113" t="s">
        <v>10</v>
      </c>
      <c r="G6" s="113" t="s">
        <v>11</v>
      </c>
      <c r="H6" s="113" t="s">
        <v>12</v>
      </c>
      <c r="I6" s="113" t="s">
        <v>13</v>
      </c>
      <c r="J6" s="113" t="s">
        <v>14</v>
      </c>
      <c r="K6" s="113" t="s">
        <v>15</v>
      </c>
      <c r="L6" s="113" t="s">
        <v>16</v>
      </c>
      <c r="M6" s="113" t="s">
        <v>17</v>
      </c>
      <c r="N6" s="114" t="s">
        <v>18</v>
      </c>
    </row>
    <row r="7" spans="1:15" hidden="1">
      <c r="A7" s="115"/>
      <c r="B7" s="116"/>
      <c r="C7" s="116"/>
      <c r="D7" s="116"/>
      <c r="E7" s="116"/>
      <c r="F7" s="116"/>
      <c r="G7" s="116"/>
      <c r="H7" s="116"/>
      <c r="I7" s="116"/>
      <c r="J7" s="116"/>
      <c r="K7" s="116"/>
      <c r="L7" s="116"/>
      <c r="M7" s="116"/>
      <c r="N7" s="117"/>
    </row>
    <row r="8" spans="1:15" hidden="1">
      <c r="A8" s="81" t="s">
        <v>5</v>
      </c>
      <c r="B8" s="108"/>
      <c r="C8" s="108"/>
      <c r="D8" s="108"/>
      <c r="E8" s="108"/>
      <c r="F8" s="108"/>
      <c r="G8" s="108"/>
      <c r="H8" s="108"/>
      <c r="I8" s="108"/>
      <c r="J8" s="108"/>
      <c r="K8" s="108"/>
      <c r="L8" s="108"/>
      <c r="M8" s="108"/>
      <c r="N8" s="108"/>
    </row>
    <row r="9" spans="1:15">
      <c r="A9" s="109"/>
      <c r="B9" s="98">
        <v>765</v>
      </c>
      <c r="C9" s="98">
        <v>803</v>
      </c>
      <c r="D9" s="98">
        <v>795</v>
      </c>
      <c r="E9" s="98">
        <v>630</v>
      </c>
      <c r="F9" s="98">
        <v>1125</v>
      </c>
      <c r="G9" s="98">
        <v>817.5</v>
      </c>
      <c r="H9" s="98">
        <v>652.5</v>
      </c>
      <c r="I9" s="98">
        <v>697.5</v>
      </c>
      <c r="J9" s="98">
        <v>660</v>
      </c>
      <c r="K9" s="98">
        <v>750</v>
      </c>
      <c r="L9" s="98">
        <v>817.5</v>
      </c>
      <c r="M9" s="98">
        <v>862.5</v>
      </c>
      <c r="N9" s="98"/>
      <c r="O9" s="22">
        <v>0.4</v>
      </c>
    </row>
    <row r="10" spans="1:15">
      <c r="A10" s="98" t="s">
        <v>85</v>
      </c>
      <c r="B10" s="98">
        <f>B9*O9</f>
        <v>306</v>
      </c>
      <c r="C10" s="98">
        <f>C9*O9</f>
        <v>321.20000000000005</v>
      </c>
      <c r="D10" s="98">
        <f>D9*O9</f>
        <v>318</v>
      </c>
      <c r="E10" s="98">
        <f>E9*O9</f>
        <v>252</v>
      </c>
      <c r="F10" s="98">
        <f>F9*O9</f>
        <v>450</v>
      </c>
      <c r="G10" s="98">
        <f>G9*O9</f>
        <v>327</v>
      </c>
      <c r="H10" s="98">
        <f>H9*O9</f>
        <v>261</v>
      </c>
      <c r="I10" s="98">
        <f>I9*O9</f>
        <v>279</v>
      </c>
      <c r="J10" s="98">
        <f>J9*O9</f>
        <v>264</v>
      </c>
      <c r="K10" s="98">
        <f>K9*0.4</f>
        <v>300</v>
      </c>
      <c r="L10" s="98">
        <f>L9*O9</f>
        <v>327</v>
      </c>
      <c r="M10" s="98">
        <f>M9*O9</f>
        <v>345</v>
      </c>
      <c r="N10" s="98">
        <f>SUM(B10:M10)</f>
        <v>3750.2</v>
      </c>
      <c r="O10">
        <v>0.2</v>
      </c>
    </row>
    <row r="11" spans="1:15">
      <c r="A11" s="98" t="s">
        <v>86</v>
      </c>
      <c r="B11" s="98">
        <f>B9*O10</f>
        <v>153</v>
      </c>
      <c r="C11" s="98">
        <f>C9*O10</f>
        <v>160.60000000000002</v>
      </c>
      <c r="D11" s="98">
        <f>D9*O10</f>
        <v>159</v>
      </c>
      <c r="E11" s="98">
        <f>E9*O10</f>
        <v>126</v>
      </c>
      <c r="F11" s="98">
        <f>F9*O10</f>
        <v>225</v>
      </c>
      <c r="G11" s="98">
        <f>G9*O10</f>
        <v>163.5</v>
      </c>
      <c r="H11" s="98">
        <f>H9*O10</f>
        <v>130.5</v>
      </c>
      <c r="I11" s="98">
        <f>I9*O10</f>
        <v>139.5</v>
      </c>
      <c r="J11" s="98">
        <f>J9*O10</f>
        <v>132</v>
      </c>
      <c r="K11" s="98">
        <f>K9*0.2</f>
        <v>150</v>
      </c>
      <c r="L11" s="98">
        <f>L9*O10</f>
        <v>163.5</v>
      </c>
      <c r="M11" s="98">
        <f>M9*O10</f>
        <v>172.5</v>
      </c>
      <c r="N11" s="98">
        <f>SUM(B11:M11)</f>
        <v>1875.1</v>
      </c>
      <c r="O11" s="22">
        <v>0.4</v>
      </c>
    </row>
    <row r="12" spans="1:15">
      <c r="A12" s="98" t="s">
        <v>87</v>
      </c>
      <c r="B12" s="98">
        <f>B9*O11</f>
        <v>306</v>
      </c>
      <c r="C12" s="98">
        <f>C9*O11</f>
        <v>321.20000000000005</v>
      </c>
      <c r="D12" s="98">
        <f>D9*O11</f>
        <v>318</v>
      </c>
      <c r="E12" s="98">
        <f>E9*O11</f>
        <v>252</v>
      </c>
      <c r="F12" s="98">
        <f>F9*O11</f>
        <v>450</v>
      </c>
      <c r="G12" s="98">
        <f>G9*O11</f>
        <v>327</v>
      </c>
      <c r="H12" s="98">
        <f>H9*O11</f>
        <v>261</v>
      </c>
      <c r="I12" s="98">
        <f>I9*O11</f>
        <v>279</v>
      </c>
      <c r="J12" s="98">
        <f>J9*O11</f>
        <v>264</v>
      </c>
      <c r="K12" s="98">
        <f>K9*O11</f>
        <v>300</v>
      </c>
      <c r="L12" s="98">
        <f>L9*O11</f>
        <v>327</v>
      </c>
      <c r="M12" s="98">
        <f>M9*O11</f>
        <v>345</v>
      </c>
      <c r="N12" s="98">
        <f>SUM(B12:M12)</f>
        <v>3750.2</v>
      </c>
    </row>
    <row r="13" spans="1:15">
      <c r="A13" s="110" t="s">
        <v>52</v>
      </c>
      <c r="B13" s="98">
        <f>SUM(B10:B12)</f>
        <v>765</v>
      </c>
      <c r="C13" s="98">
        <f t="shared" ref="C13:M13" si="0">SUM(C10:C12)</f>
        <v>803.00000000000011</v>
      </c>
      <c r="D13" s="98">
        <f t="shared" si="0"/>
        <v>795</v>
      </c>
      <c r="E13" s="98">
        <f t="shared" si="0"/>
        <v>630</v>
      </c>
      <c r="F13" s="98">
        <f t="shared" si="0"/>
        <v>1125</v>
      </c>
      <c r="G13" s="98">
        <f t="shared" si="0"/>
        <v>817.5</v>
      </c>
      <c r="H13" s="98">
        <f t="shared" si="0"/>
        <v>652.5</v>
      </c>
      <c r="I13" s="98">
        <f t="shared" si="0"/>
        <v>697.5</v>
      </c>
      <c r="J13" s="98">
        <f t="shared" si="0"/>
        <v>660</v>
      </c>
      <c r="K13" s="98">
        <f t="shared" si="0"/>
        <v>750</v>
      </c>
      <c r="L13" s="98">
        <f t="shared" si="0"/>
        <v>817.5</v>
      </c>
      <c r="M13" s="98">
        <f t="shared" si="0"/>
        <v>862.5</v>
      </c>
      <c r="N13" s="98">
        <f>SUM(N10:N12)</f>
        <v>9375.5</v>
      </c>
    </row>
    <row r="14" spans="1:15">
      <c r="A14" s="110" t="s">
        <v>48</v>
      </c>
      <c r="B14" s="98">
        <f>B13*0.2</f>
        <v>153</v>
      </c>
      <c r="C14" s="98">
        <f>C13*0.2</f>
        <v>160.60000000000002</v>
      </c>
      <c r="D14" s="98">
        <f t="shared" ref="D14:M14" si="1">D13*0.2</f>
        <v>159</v>
      </c>
      <c r="E14" s="98">
        <f t="shared" si="1"/>
        <v>126</v>
      </c>
      <c r="F14" s="98">
        <f t="shared" si="1"/>
        <v>225</v>
      </c>
      <c r="G14" s="98">
        <f t="shared" si="1"/>
        <v>163.5</v>
      </c>
      <c r="H14" s="98">
        <f t="shared" si="1"/>
        <v>130.5</v>
      </c>
      <c r="I14" s="98">
        <f t="shared" si="1"/>
        <v>139.5</v>
      </c>
      <c r="J14" s="98">
        <f t="shared" si="1"/>
        <v>132</v>
      </c>
      <c r="K14" s="98">
        <f t="shared" si="1"/>
        <v>150</v>
      </c>
      <c r="L14" s="98">
        <f t="shared" si="1"/>
        <v>163.5</v>
      </c>
      <c r="M14" s="98">
        <f t="shared" si="1"/>
        <v>172.5</v>
      </c>
      <c r="N14" s="98">
        <f>SUM(B14:M14)</f>
        <v>1875.1</v>
      </c>
    </row>
    <row r="15" spans="1:15">
      <c r="A15" s="110" t="s">
        <v>53</v>
      </c>
      <c r="B15" s="98">
        <f>B13-B14</f>
        <v>612</v>
      </c>
      <c r="C15" s="98">
        <f t="shared" ref="C15:M15" si="2">C13-C14</f>
        <v>642.40000000000009</v>
      </c>
      <c r="D15" s="98">
        <f t="shared" si="2"/>
        <v>636</v>
      </c>
      <c r="E15" s="98">
        <f t="shared" si="2"/>
        <v>504</v>
      </c>
      <c r="F15" s="98">
        <f t="shared" si="2"/>
        <v>900</v>
      </c>
      <c r="G15" s="98">
        <f t="shared" si="2"/>
        <v>654</v>
      </c>
      <c r="H15" s="98">
        <f t="shared" si="2"/>
        <v>522</v>
      </c>
      <c r="I15" s="98">
        <f t="shared" si="2"/>
        <v>558</v>
      </c>
      <c r="J15" s="98">
        <f t="shared" si="2"/>
        <v>528</v>
      </c>
      <c r="K15" s="98">
        <f t="shared" si="2"/>
        <v>600</v>
      </c>
      <c r="L15" s="98">
        <f t="shared" si="2"/>
        <v>654</v>
      </c>
      <c r="M15" s="98">
        <f t="shared" si="2"/>
        <v>690</v>
      </c>
      <c r="N15" s="98">
        <f>SUM(B15:M15)</f>
        <v>7500.4</v>
      </c>
    </row>
    <row r="16" spans="1:15">
      <c r="A16" s="110" t="s">
        <v>153</v>
      </c>
      <c r="B16" s="98"/>
      <c r="C16" s="98"/>
      <c r="D16" s="98"/>
      <c r="E16" s="98"/>
      <c r="F16" s="98"/>
      <c r="G16" s="98"/>
      <c r="H16" s="98"/>
      <c r="I16" s="98"/>
      <c r="J16" s="98"/>
      <c r="K16" s="98"/>
      <c r="L16" s="98"/>
      <c r="M16" s="98"/>
      <c r="N16" s="98"/>
    </row>
    <row r="17" spans="1:14">
      <c r="A17" s="98" t="s">
        <v>33</v>
      </c>
      <c r="B17" s="98">
        <v>250</v>
      </c>
      <c r="C17" s="98">
        <v>250</v>
      </c>
      <c r="D17" s="98">
        <v>250</v>
      </c>
      <c r="E17" s="98">
        <v>250</v>
      </c>
      <c r="F17" s="98">
        <v>250</v>
      </c>
      <c r="G17" s="98">
        <v>250</v>
      </c>
      <c r="H17" s="98">
        <v>250</v>
      </c>
      <c r="I17" s="98">
        <v>250</v>
      </c>
      <c r="J17" s="98">
        <v>250</v>
      </c>
      <c r="K17" s="98">
        <v>250</v>
      </c>
      <c r="L17" s="98">
        <v>250</v>
      </c>
      <c r="M17" s="98">
        <v>250</v>
      </c>
      <c r="N17" s="98">
        <f>SUM(B17:M17)</f>
        <v>3000</v>
      </c>
    </row>
    <row r="18" spans="1:14">
      <c r="A18" s="98" t="s">
        <v>34</v>
      </c>
      <c r="B18" s="98">
        <f>B15*0.05</f>
        <v>30.6</v>
      </c>
      <c r="C18" s="98">
        <f>C15*0.05</f>
        <v>32.120000000000005</v>
      </c>
      <c r="D18" s="98">
        <f t="shared" ref="D18:M18" si="3">D15*0.05</f>
        <v>31.8</v>
      </c>
      <c r="E18" s="98">
        <f t="shared" si="3"/>
        <v>25.200000000000003</v>
      </c>
      <c r="F18" s="98">
        <f t="shared" si="3"/>
        <v>45</v>
      </c>
      <c r="G18" s="98">
        <f t="shared" si="3"/>
        <v>32.700000000000003</v>
      </c>
      <c r="H18" s="98">
        <f t="shared" si="3"/>
        <v>26.1</v>
      </c>
      <c r="I18" s="98">
        <f t="shared" si="3"/>
        <v>27.900000000000002</v>
      </c>
      <c r="J18" s="98">
        <f t="shared" si="3"/>
        <v>26.400000000000002</v>
      </c>
      <c r="K18" s="98">
        <f t="shared" si="3"/>
        <v>30</v>
      </c>
      <c r="L18" s="98">
        <f t="shared" si="3"/>
        <v>32.700000000000003</v>
      </c>
      <c r="M18" s="98">
        <f t="shared" si="3"/>
        <v>34.5</v>
      </c>
      <c r="N18" s="98">
        <f>SUM(B18:M18)</f>
        <v>375.02</v>
      </c>
    </row>
    <row r="19" spans="1:14">
      <c r="A19" s="98" t="s">
        <v>35</v>
      </c>
      <c r="B19" s="98">
        <f>B13*0.2</f>
        <v>153</v>
      </c>
      <c r="C19" s="98">
        <f t="shared" ref="C19:M19" si="4">C13*0.2</f>
        <v>160.60000000000002</v>
      </c>
      <c r="D19" s="98">
        <f>D13*0.2</f>
        <v>159</v>
      </c>
      <c r="E19" s="98">
        <f t="shared" si="4"/>
        <v>126</v>
      </c>
      <c r="F19" s="98">
        <f>F13*0.2</f>
        <v>225</v>
      </c>
      <c r="G19" s="98">
        <f t="shared" si="4"/>
        <v>163.5</v>
      </c>
      <c r="H19" s="98">
        <f t="shared" si="4"/>
        <v>130.5</v>
      </c>
      <c r="I19" s="98">
        <f t="shared" si="4"/>
        <v>139.5</v>
      </c>
      <c r="J19" s="98">
        <f t="shared" si="4"/>
        <v>132</v>
      </c>
      <c r="K19" s="98">
        <f t="shared" si="4"/>
        <v>150</v>
      </c>
      <c r="L19" s="98">
        <f t="shared" si="4"/>
        <v>163.5</v>
      </c>
      <c r="M19" s="98">
        <f t="shared" si="4"/>
        <v>172.5</v>
      </c>
      <c r="N19" s="98">
        <f>SUM(B19:M19)</f>
        <v>1875.1</v>
      </c>
    </row>
    <row r="20" spans="1:14">
      <c r="A20" s="98" t="s">
        <v>36</v>
      </c>
      <c r="B20" s="98">
        <f>B15*0.1</f>
        <v>61.2</v>
      </c>
      <c r="C20" s="98">
        <f t="shared" ref="C20:M20" si="5">C15*0.1</f>
        <v>64.240000000000009</v>
      </c>
      <c r="D20" s="98">
        <f t="shared" si="5"/>
        <v>63.6</v>
      </c>
      <c r="E20" s="98">
        <f t="shared" si="5"/>
        <v>50.400000000000006</v>
      </c>
      <c r="F20" s="98">
        <f t="shared" si="5"/>
        <v>90</v>
      </c>
      <c r="G20" s="98">
        <f t="shared" si="5"/>
        <v>65.400000000000006</v>
      </c>
      <c r="H20" s="98">
        <f t="shared" si="5"/>
        <v>52.2</v>
      </c>
      <c r="I20" s="98">
        <f t="shared" si="5"/>
        <v>55.800000000000004</v>
      </c>
      <c r="J20" s="98">
        <f t="shared" si="5"/>
        <v>52.800000000000004</v>
      </c>
      <c r="K20" s="98">
        <f t="shared" si="5"/>
        <v>60</v>
      </c>
      <c r="L20" s="98">
        <f t="shared" si="5"/>
        <v>65.400000000000006</v>
      </c>
      <c r="M20" s="98">
        <f t="shared" si="5"/>
        <v>69</v>
      </c>
      <c r="N20" s="98">
        <f>SUM(B20:M20)</f>
        <v>750.04</v>
      </c>
    </row>
    <row r="21" spans="1:14">
      <c r="A21" s="98" t="s">
        <v>152</v>
      </c>
      <c r="B21" s="98">
        <v>26.94</v>
      </c>
      <c r="C21" s="98">
        <v>26.94</v>
      </c>
      <c r="D21" s="98">
        <v>26.94</v>
      </c>
      <c r="E21" s="98">
        <v>26.94</v>
      </c>
      <c r="F21" s="98">
        <v>26.94</v>
      </c>
      <c r="G21" s="98">
        <v>26.94</v>
      </c>
      <c r="H21" s="98">
        <v>26.94</v>
      </c>
      <c r="I21" s="98">
        <v>26.94</v>
      </c>
      <c r="J21" s="98">
        <v>26.94</v>
      </c>
      <c r="K21" s="98">
        <v>26.94</v>
      </c>
      <c r="L21" s="98">
        <v>26.94</v>
      </c>
      <c r="M21" s="98">
        <v>26.94</v>
      </c>
      <c r="N21" s="98">
        <v>323.27999999999997</v>
      </c>
    </row>
    <row r="22" spans="1:14" hidden="1">
      <c r="A22" s="98" t="s">
        <v>37</v>
      </c>
      <c r="B22" s="70">
        <v>30.75</v>
      </c>
      <c r="C22" s="70">
        <v>30.75</v>
      </c>
      <c r="D22" s="70">
        <v>30.75</v>
      </c>
      <c r="E22" s="70">
        <v>30.75</v>
      </c>
      <c r="F22" s="70">
        <v>30.75</v>
      </c>
      <c r="G22" s="70">
        <v>30.75</v>
      </c>
      <c r="H22" s="70">
        <v>30.75</v>
      </c>
      <c r="I22" s="70">
        <v>30.75</v>
      </c>
      <c r="J22" s="70">
        <v>30.75</v>
      </c>
      <c r="K22" s="70">
        <v>30.75</v>
      </c>
      <c r="L22" s="70">
        <v>30.75</v>
      </c>
      <c r="M22" s="70">
        <v>30.75</v>
      </c>
      <c r="N22" s="98">
        <f>SUM(B22:M22)</f>
        <v>369</v>
      </c>
    </row>
    <row r="23" spans="1:14" hidden="1">
      <c r="A23" s="111" t="s">
        <v>38</v>
      </c>
      <c r="B23" s="111"/>
      <c r="C23" s="111"/>
      <c r="D23" s="98"/>
      <c r="E23" s="98"/>
      <c r="F23" s="98"/>
      <c r="G23" s="98"/>
      <c r="H23" s="98"/>
      <c r="I23" s="98"/>
      <c r="J23" s="110"/>
      <c r="K23" s="98"/>
      <c r="L23" s="98"/>
      <c r="M23" s="98"/>
      <c r="N23" s="98"/>
    </row>
    <row r="24" spans="1:14">
      <c r="A24" s="70"/>
      <c r="B24" s="70"/>
      <c r="C24" s="70"/>
      <c r="D24" s="98"/>
      <c r="E24" s="98"/>
      <c r="F24" s="98"/>
      <c r="G24" s="98"/>
      <c r="H24" s="98"/>
      <c r="I24" s="98"/>
      <c r="J24" s="110"/>
      <c r="K24" s="98"/>
      <c r="L24" s="98"/>
      <c r="M24" s="98"/>
      <c r="N24" s="98"/>
    </row>
    <row r="25" spans="1:14">
      <c r="A25" s="110" t="s">
        <v>39</v>
      </c>
      <c r="B25" s="98">
        <f>B17+B18+B19+B20</f>
        <v>494.8</v>
      </c>
      <c r="C25" s="98">
        <f>C17+C18+C19+C20</f>
        <v>506.96000000000004</v>
      </c>
      <c r="D25" s="98">
        <f>D17+D18+D19+D20</f>
        <v>504.40000000000003</v>
      </c>
      <c r="E25" s="98">
        <f>E17+E18+E19+E20</f>
        <v>451.6</v>
      </c>
      <c r="F25" s="98">
        <f>F17+F18+F19+F20</f>
        <v>610</v>
      </c>
      <c r="G25" s="98">
        <f>G17+G18+G19+G20</f>
        <v>511.6</v>
      </c>
      <c r="H25" s="98">
        <f>H17+H18+H19+H20</f>
        <v>458.8</v>
      </c>
      <c r="I25" s="98">
        <f>I17+I18+I19+I20</f>
        <v>473.2</v>
      </c>
      <c r="J25" s="98">
        <f>J17+J18+J19+J20</f>
        <v>461.2</v>
      </c>
      <c r="K25" s="98">
        <f>K17+K18+K19+K20</f>
        <v>490</v>
      </c>
      <c r="L25" s="98">
        <f>L17+L18+L19+L20</f>
        <v>511.6</v>
      </c>
      <c r="M25" s="98">
        <f>M17+M18+M19+M20</f>
        <v>526</v>
      </c>
      <c r="N25" s="98">
        <f>SUM(N17:N24)</f>
        <v>6692.44</v>
      </c>
    </row>
    <row r="26" spans="1:14">
      <c r="A26" s="110" t="s">
        <v>51</v>
      </c>
      <c r="B26" s="98">
        <f>B15-B25</f>
        <v>117.19999999999999</v>
      </c>
      <c r="C26" s="98">
        <f>C15-C25</f>
        <v>135.44000000000005</v>
      </c>
      <c r="D26" s="98">
        <f>D15-D25</f>
        <v>131.59999999999997</v>
      </c>
      <c r="E26" s="98">
        <f>E15-E25</f>
        <v>52.399999999999977</v>
      </c>
      <c r="F26" s="98">
        <f>F15-F25</f>
        <v>290</v>
      </c>
      <c r="G26" s="98">
        <f>G15-G25</f>
        <v>142.39999999999998</v>
      </c>
      <c r="H26" s="98">
        <f>H15-H25</f>
        <v>63.199999999999989</v>
      </c>
      <c r="I26" s="98">
        <f>I15-I25</f>
        <v>84.800000000000011</v>
      </c>
      <c r="J26" s="98">
        <f>J15-J25</f>
        <v>66.800000000000011</v>
      </c>
      <c r="K26" s="98">
        <f>K15-K25</f>
        <v>110</v>
      </c>
      <c r="L26" s="98">
        <f>L15-L25</f>
        <v>142.39999999999998</v>
      </c>
      <c r="M26" s="98">
        <f>M15-M25</f>
        <v>164</v>
      </c>
      <c r="N26" s="98">
        <f>N15-N25</f>
        <v>807.96</v>
      </c>
    </row>
    <row r="27" spans="1:14">
      <c r="A27" s="98" t="s">
        <v>40</v>
      </c>
      <c r="B27" s="98">
        <f>B26*0.2</f>
        <v>23.439999999999998</v>
      </c>
      <c r="C27" s="98">
        <f t="shared" ref="C27:M27" si="6">C26*0.2</f>
        <v>27.088000000000012</v>
      </c>
      <c r="D27" s="98">
        <f t="shared" si="6"/>
        <v>26.319999999999993</v>
      </c>
      <c r="E27" s="98">
        <f t="shared" si="6"/>
        <v>10.479999999999997</v>
      </c>
      <c r="F27" s="98">
        <f t="shared" si="6"/>
        <v>58</v>
      </c>
      <c r="G27" s="98">
        <f t="shared" si="6"/>
        <v>28.479999999999997</v>
      </c>
      <c r="H27" s="98">
        <f t="shared" si="6"/>
        <v>12.639999999999999</v>
      </c>
      <c r="I27" s="98">
        <f t="shared" si="6"/>
        <v>16.960000000000004</v>
      </c>
      <c r="J27" s="98">
        <f t="shared" si="6"/>
        <v>13.360000000000003</v>
      </c>
      <c r="K27" s="98">
        <f t="shared" si="6"/>
        <v>22</v>
      </c>
      <c r="L27" s="98">
        <f t="shared" si="6"/>
        <v>28.479999999999997</v>
      </c>
      <c r="M27" s="98">
        <f t="shared" si="6"/>
        <v>32.800000000000004</v>
      </c>
      <c r="N27" s="98">
        <f>SUM(B27:M27)</f>
        <v>300.048</v>
      </c>
    </row>
    <row r="28" spans="1:14">
      <c r="A28" s="110" t="s">
        <v>41</v>
      </c>
      <c r="B28" s="98">
        <f>B26-B27</f>
        <v>93.759999999999991</v>
      </c>
      <c r="C28" s="98">
        <f t="shared" ref="C28:M28" si="7">C26-C27</f>
        <v>108.35200000000005</v>
      </c>
      <c r="D28" s="98">
        <f t="shared" si="7"/>
        <v>105.27999999999997</v>
      </c>
      <c r="E28" s="98">
        <f t="shared" si="7"/>
        <v>41.91999999999998</v>
      </c>
      <c r="F28" s="98">
        <f t="shared" si="7"/>
        <v>232</v>
      </c>
      <c r="G28" s="98">
        <f t="shared" si="7"/>
        <v>113.91999999999999</v>
      </c>
      <c r="H28" s="98">
        <f t="shared" si="7"/>
        <v>50.559999999999988</v>
      </c>
      <c r="I28" s="98">
        <f t="shared" si="7"/>
        <v>67.84</v>
      </c>
      <c r="J28" s="98">
        <f t="shared" si="7"/>
        <v>53.440000000000012</v>
      </c>
      <c r="K28" s="98">
        <f t="shared" si="7"/>
        <v>88</v>
      </c>
      <c r="L28" s="98">
        <f t="shared" si="7"/>
        <v>113.91999999999999</v>
      </c>
      <c r="M28" s="98">
        <f t="shared" si="7"/>
        <v>131.19999999999999</v>
      </c>
      <c r="N28" s="98">
        <f>SUM(B28:M28)</f>
        <v>1200.192</v>
      </c>
    </row>
    <row r="29" spans="1:14">
      <c r="A29" s="110" t="s">
        <v>88</v>
      </c>
      <c r="B29" s="98">
        <f>B26/B13</f>
        <v>0.15320261437908494</v>
      </c>
      <c r="C29" s="98">
        <f>C26/C13</f>
        <v>0.16866749688667501</v>
      </c>
      <c r="D29" s="98">
        <f>D26/D13</f>
        <v>0.16553459119496852</v>
      </c>
      <c r="E29" s="98">
        <f>E26/E13</f>
        <v>8.3174603174603137E-2</v>
      </c>
      <c r="F29" s="98">
        <f>F26/F13</f>
        <v>0.25777777777777777</v>
      </c>
      <c r="G29" s="98">
        <f>G26/G13</f>
        <v>0.17418960244648315</v>
      </c>
      <c r="H29" s="98">
        <f>H26/H13</f>
        <v>9.6858237547892703E-2</v>
      </c>
      <c r="I29" s="98">
        <f>I26/I13</f>
        <v>0.12157706093189966</v>
      </c>
      <c r="J29" s="98">
        <f>J26/J13</f>
        <v>0.10121212121212123</v>
      </c>
      <c r="K29" s="98">
        <f>K26/K13</f>
        <v>0.14666666666666667</v>
      </c>
      <c r="L29" s="98">
        <f>L26/L13</f>
        <v>0.17418960244648315</v>
      </c>
      <c r="M29" s="98">
        <f>M26/M13</f>
        <v>0.19014492753623188</v>
      </c>
      <c r="N29" s="110">
        <f>N26/N13</f>
        <v>8.617780385046131E-2</v>
      </c>
    </row>
    <row r="32" spans="1:14" hidden="1"/>
    <row r="33" spans="1:1" hidden="1">
      <c r="A33" t="s">
        <v>178</v>
      </c>
    </row>
  </sheetData>
  <mergeCells count="6">
    <mergeCell ref="A23:C23"/>
    <mergeCell ref="A1:N1"/>
    <mergeCell ref="A2:N2"/>
    <mergeCell ref="A3:N3"/>
    <mergeCell ref="A5:N5"/>
    <mergeCell ref="A4:N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61886-7D71-DF43-AAF6-B26B3FE34E2A}">
  <dimension ref="A1:N49"/>
  <sheetViews>
    <sheetView workbookViewId="0">
      <selection activeCell="R21" sqref="R21"/>
    </sheetView>
  </sheetViews>
  <sheetFormatPr baseColWidth="10" defaultRowHeight="15.6"/>
  <cols>
    <col min="1" max="1" width="23.796875" customWidth="1"/>
    <col min="14" max="14" width="0" hidden="1" customWidth="1"/>
  </cols>
  <sheetData>
    <row r="1" spans="1:14">
      <c r="A1" s="60" t="s">
        <v>168</v>
      </c>
      <c r="B1" s="60"/>
      <c r="C1" s="60"/>
      <c r="D1" s="60"/>
      <c r="E1" s="60"/>
      <c r="F1" s="60"/>
      <c r="G1" s="60"/>
      <c r="H1" s="60"/>
      <c r="I1" s="60"/>
      <c r="J1" s="60"/>
      <c r="K1" s="60"/>
      <c r="L1" s="60"/>
      <c r="M1" s="60"/>
    </row>
    <row r="2" spans="1:14">
      <c r="A2" s="60" t="s">
        <v>174</v>
      </c>
      <c r="B2" s="60"/>
      <c r="C2" s="60"/>
      <c r="D2" s="60"/>
      <c r="E2" s="60"/>
      <c r="F2" s="60"/>
      <c r="G2" s="60"/>
      <c r="H2" s="60"/>
      <c r="I2" s="60"/>
      <c r="J2" s="60"/>
      <c r="K2" s="60"/>
      <c r="L2" s="60"/>
      <c r="M2" s="60"/>
    </row>
    <row r="3" spans="1:14">
      <c r="A3" s="60" t="s">
        <v>170</v>
      </c>
      <c r="B3" s="60"/>
      <c r="C3" s="60"/>
      <c r="D3" s="60"/>
      <c r="E3" s="60"/>
      <c r="F3" s="60"/>
      <c r="G3" s="60"/>
      <c r="H3" s="60"/>
      <c r="I3" s="60"/>
      <c r="J3" s="60"/>
      <c r="K3" s="60"/>
      <c r="L3" s="60"/>
      <c r="M3" s="60"/>
    </row>
    <row r="4" spans="1:14">
      <c r="A4" s="66" t="s">
        <v>171</v>
      </c>
      <c r="B4" s="66"/>
      <c r="C4" s="66"/>
      <c r="D4" s="66"/>
      <c r="E4" s="66"/>
      <c r="F4" s="66"/>
      <c r="G4" s="66"/>
      <c r="H4" s="66"/>
      <c r="I4" s="66"/>
      <c r="J4" s="66"/>
      <c r="K4" s="66"/>
      <c r="L4" s="66"/>
      <c r="M4" s="66"/>
    </row>
    <row r="5" spans="1:14">
      <c r="A5" s="124"/>
      <c r="B5" s="123" t="s">
        <v>6</v>
      </c>
      <c r="C5" s="123" t="s">
        <v>7</v>
      </c>
      <c r="D5" s="123" t="s">
        <v>8</v>
      </c>
      <c r="E5" s="123" t="s">
        <v>9</v>
      </c>
      <c r="F5" s="123" t="s">
        <v>10</v>
      </c>
      <c r="G5" s="123" t="s">
        <v>11</v>
      </c>
      <c r="H5" s="123" t="s">
        <v>12</v>
      </c>
      <c r="I5" s="123" t="s">
        <v>13</v>
      </c>
      <c r="J5" s="123" t="s">
        <v>14</v>
      </c>
      <c r="K5" s="123" t="s">
        <v>15</v>
      </c>
      <c r="L5" s="123" t="s">
        <v>16</v>
      </c>
      <c r="M5" s="123" t="s">
        <v>17</v>
      </c>
      <c r="N5" s="50" t="s">
        <v>99</v>
      </c>
    </row>
    <row r="6" spans="1:14" ht="31.2">
      <c r="A6" s="118" t="s">
        <v>63</v>
      </c>
      <c r="B6" s="96">
        <v>3000</v>
      </c>
      <c r="C6" s="96">
        <f>B37</f>
        <v>3124</v>
      </c>
      <c r="D6" s="96">
        <f t="shared" ref="D6:M6" si="0">C37</f>
        <v>3291.2</v>
      </c>
      <c r="E6" s="96">
        <f t="shared" si="0"/>
        <v>3480</v>
      </c>
      <c r="F6" s="96">
        <f t="shared" si="0"/>
        <v>3638.56</v>
      </c>
      <c r="G6" s="96">
        <f t="shared" si="0"/>
        <v>3814.3999999999996</v>
      </c>
      <c r="H6" s="96">
        <f t="shared" si="0"/>
        <v>3938.3999999999996</v>
      </c>
      <c r="I6" s="96">
        <f t="shared" si="0"/>
        <v>4109.92</v>
      </c>
      <c r="J6" s="96">
        <f t="shared" si="0"/>
        <v>4290.08</v>
      </c>
      <c r="K6" s="96">
        <f t="shared" si="0"/>
        <v>4306.08</v>
      </c>
      <c r="L6" s="96">
        <f t="shared" si="0"/>
        <v>4464.6400000000003</v>
      </c>
      <c r="M6" s="96">
        <f t="shared" si="0"/>
        <v>4653.4400000000005</v>
      </c>
      <c r="N6" s="51"/>
    </row>
    <row r="7" spans="1:14" hidden="1">
      <c r="A7" s="119"/>
      <c r="B7" s="96"/>
      <c r="C7" s="96"/>
      <c r="D7" s="96"/>
      <c r="E7" s="96"/>
      <c r="F7" s="96"/>
      <c r="G7" s="96"/>
      <c r="H7" s="96"/>
      <c r="I7" s="96"/>
      <c r="J7" s="96"/>
      <c r="K7" s="96"/>
      <c r="L7" s="96"/>
      <c r="M7" s="96"/>
      <c r="N7" s="51"/>
    </row>
    <row r="8" spans="1:14">
      <c r="A8" s="118" t="s">
        <v>66</v>
      </c>
      <c r="B8" s="96"/>
      <c r="C8" s="96"/>
      <c r="D8" s="96"/>
      <c r="E8" s="96"/>
      <c r="F8" s="96"/>
      <c r="G8" s="96"/>
      <c r="H8" s="96"/>
      <c r="I8" s="96"/>
      <c r="J8" s="96"/>
      <c r="K8" s="96"/>
      <c r="L8" s="96"/>
      <c r="M8" s="96"/>
      <c r="N8" s="51"/>
    </row>
    <row r="9" spans="1:14">
      <c r="A9" s="119" t="s">
        <v>65</v>
      </c>
      <c r="B9" s="96">
        <f>'Income Statement Year 1 '!B12+'Income Statement Year 1 '!B13</f>
        <v>270</v>
      </c>
      <c r="C9" s="96">
        <f>'Income Statement Year 1 '!C12+'Income Statement Year 1 '!C13</f>
        <v>306</v>
      </c>
      <c r="D9" s="96">
        <f>'Income Statement Year 1 '!D12+'Income Statement Year 1 '!D13</f>
        <v>324</v>
      </c>
      <c r="E9" s="96">
        <f>'Income Statement Year 1 '!E12+'Income Statement Year 1 '!E13</f>
        <v>298.8</v>
      </c>
      <c r="F9" s="96">
        <f>'Income Statement Year 1 '!F12+'Income Statement Year 1 '!F13</f>
        <v>313.20000000000005</v>
      </c>
      <c r="G9" s="96">
        <f>'Income Statement Year 1 '!G12+'Income Statement Year 1 '!G13</f>
        <v>270</v>
      </c>
      <c r="H9" s="96">
        <f>'Income Statement Year 1 '!H12+'Income Statement Year 1 '!H13</f>
        <v>309.60000000000002</v>
      </c>
      <c r="I9" s="96">
        <f>'Income Statement Year 1 '!I12+'Income Statement Year 1 '!I13</f>
        <v>316.8</v>
      </c>
      <c r="J9" s="96">
        <f>'Income Statement Year 1 '!J12+'Income Statement Year 1 '!J13</f>
        <v>180</v>
      </c>
      <c r="K9" s="96">
        <f>'Income Statement Year 1 '!K12+'Income Statement Year 1 '!K13</f>
        <v>298.8</v>
      </c>
      <c r="L9" s="96">
        <f>'Income Statement Year 1 '!L12+'Income Statement Year 1 '!L13</f>
        <v>324</v>
      </c>
      <c r="M9" s="96">
        <f>'Income Statement Year 1 '!M12+'Income Statement Year 1 '!M13</f>
        <v>342</v>
      </c>
      <c r="N9" s="51"/>
    </row>
    <row r="10" spans="1:14">
      <c r="A10" s="119" t="s">
        <v>64</v>
      </c>
      <c r="B10" s="96">
        <f>'Income Statement Year 1 '!B14</f>
        <v>180</v>
      </c>
      <c r="C10" s="96">
        <f>'Income Statement Year 1 '!C14</f>
        <v>204</v>
      </c>
      <c r="D10" s="96">
        <f>'Income Statement Year 1 '!D14</f>
        <v>216</v>
      </c>
      <c r="E10" s="96">
        <f>'Income Statement Year 1 '!E14</f>
        <v>199.20000000000002</v>
      </c>
      <c r="F10" s="96">
        <f>'Income Statement Year 1 '!F14</f>
        <v>208.8</v>
      </c>
      <c r="G10" s="96">
        <f>'Income Statement Year 1 '!G14</f>
        <v>180</v>
      </c>
      <c r="H10" s="96">
        <f>'Income Statement Year 1 '!H14</f>
        <v>206.4</v>
      </c>
      <c r="I10" s="96">
        <f>'Income Statement Year 1 '!I14</f>
        <v>211.20000000000002</v>
      </c>
      <c r="J10" s="96">
        <f>'Income Statement Year 1 '!J14</f>
        <v>120</v>
      </c>
      <c r="K10" s="96">
        <f>'Income Statement Year 1 '!K14</f>
        <v>199.20000000000002</v>
      </c>
      <c r="L10" s="96">
        <f>'Income Statement Year 1 '!L14</f>
        <v>216</v>
      </c>
      <c r="M10" s="96">
        <f>'Income Statement Year 1 '!M14</f>
        <v>228</v>
      </c>
      <c r="N10" s="51"/>
    </row>
    <row r="11" spans="1:14" hidden="1">
      <c r="A11" s="119"/>
      <c r="B11" s="96"/>
      <c r="C11" s="96"/>
      <c r="D11" s="96"/>
      <c r="E11" s="96"/>
      <c r="F11" s="96"/>
      <c r="G11" s="96"/>
      <c r="H11" s="96"/>
      <c r="I11" s="96"/>
      <c r="J11" s="96"/>
      <c r="K11" s="96"/>
      <c r="L11" s="96"/>
      <c r="M11" s="96"/>
      <c r="N11" s="51"/>
    </row>
    <row r="12" spans="1:14">
      <c r="A12" s="118" t="s">
        <v>67</v>
      </c>
      <c r="B12" s="96">
        <f>B9+B10</f>
        <v>450</v>
      </c>
      <c r="C12" s="96">
        <f t="shared" ref="C12:M12" si="1">C9+C10</f>
        <v>510</v>
      </c>
      <c r="D12" s="96">
        <f t="shared" si="1"/>
        <v>540</v>
      </c>
      <c r="E12" s="96">
        <f t="shared" si="1"/>
        <v>498</v>
      </c>
      <c r="F12" s="96">
        <f t="shared" si="1"/>
        <v>522</v>
      </c>
      <c r="G12" s="96">
        <f t="shared" si="1"/>
        <v>450</v>
      </c>
      <c r="H12" s="96">
        <f t="shared" si="1"/>
        <v>516</v>
      </c>
      <c r="I12" s="96">
        <f t="shared" si="1"/>
        <v>528</v>
      </c>
      <c r="J12" s="96">
        <f t="shared" si="1"/>
        <v>300</v>
      </c>
      <c r="K12" s="96">
        <f t="shared" si="1"/>
        <v>498</v>
      </c>
      <c r="L12" s="96">
        <f t="shared" si="1"/>
        <v>540</v>
      </c>
      <c r="M12" s="96">
        <f t="shared" si="1"/>
        <v>570</v>
      </c>
      <c r="N12" s="51"/>
    </row>
    <row r="13" spans="1:14" hidden="1">
      <c r="A13" s="118"/>
      <c r="B13" s="96"/>
      <c r="C13" s="96"/>
      <c r="D13" s="96"/>
      <c r="E13" s="96"/>
      <c r="F13" s="96"/>
      <c r="G13" s="96"/>
      <c r="H13" s="96"/>
      <c r="I13" s="96"/>
      <c r="J13" s="96"/>
      <c r="K13" s="96"/>
      <c r="L13" s="96"/>
      <c r="M13" s="96"/>
      <c r="N13" s="51"/>
    </row>
    <row r="14" spans="1:14" ht="31.2">
      <c r="A14" s="118" t="s">
        <v>77</v>
      </c>
      <c r="B14" s="96">
        <f>B6+B12</f>
        <v>3450</v>
      </c>
      <c r="C14" s="96">
        <f>C6+C12</f>
        <v>3634</v>
      </c>
      <c r="D14" s="96">
        <f t="shared" ref="D14:M14" si="2">D6+D12</f>
        <v>3831.2</v>
      </c>
      <c r="E14" s="96">
        <f t="shared" si="2"/>
        <v>3978</v>
      </c>
      <c r="F14" s="96">
        <f t="shared" si="2"/>
        <v>4160.5599999999995</v>
      </c>
      <c r="G14" s="96">
        <f t="shared" si="2"/>
        <v>4264.3999999999996</v>
      </c>
      <c r="H14" s="96">
        <f t="shared" si="2"/>
        <v>4454.3999999999996</v>
      </c>
      <c r="I14" s="96">
        <f t="shared" si="2"/>
        <v>4637.92</v>
      </c>
      <c r="J14" s="96">
        <f t="shared" si="2"/>
        <v>4590.08</v>
      </c>
      <c r="K14" s="96">
        <f t="shared" si="2"/>
        <v>4804.08</v>
      </c>
      <c r="L14" s="96">
        <f t="shared" si="2"/>
        <v>5004.6400000000003</v>
      </c>
      <c r="M14" s="96">
        <f t="shared" si="2"/>
        <v>5223.4400000000005</v>
      </c>
      <c r="N14" s="51"/>
    </row>
    <row r="15" spans="1:14" hidden="1">
      <c r="A15" s="119"/>
      <c r="B15" s="96"/>
      <c r="C15" s="96"/>
      <c r="D15" s="96"/>
      <c r="E15" s="96"/>
      <c r="F15" s="96"/>
      <c r="G15" s="96"/>
      <c r="H15" s="96"/>
      <c r="I15" s="96"/>
      <c r="J15" s="96"/>
      <c r="K15" s="96"/>
      <c r="L15" s="96"/>
      <c r="M15" s="96"/>
      <c r="N15" s="51"/>
    </row>
    <row r="16" spans="1:14">
      <c r="A16" s="118" t="s">
        <v>68</v>
      </c>
      <c r="B16" s="96"/>
      <c r="C16" s="96"/>
      <c r="D16" s="96"/>
      <c r="E16" s="96"/>
      <c r="F16" s="96"/>
      <c r="G16" s="96"/>
      <c r="H16" s="96"/>
      <c r="I16" s="96"/>
      <c r="J16" s="96"/>
      <c r="K16" s="96"/>
      <c r="L16" s="96"/>
      <c r="M16" s="96"/>
      <c r="N16" s="51"/>
    </row>
    <row r="17" spans="1:14">
      <c r="A17" s="119" t="s">
        <v>48</v>
      </c>
      <c r="B17" s="96">
        <f>'Income Statement Year 1 '!B16</f>
        <v>90</v>
      </c>
      <c r="C17" s="96">
        <f>'Income Statement Year 1 '!C16</f>
        <v>102</v>
      </c>
      <c r="D17" s="96">
        <f>'Income Statement Year 1 '!D16</f>
        <v>108</v>
      </c>
      <c r="E17" s="96">
        <f>'Income Statement Year 1 '!E16</f>
        <v>99.600000000000009</v>
      </c>
      <c r="F17" s="96">
        <f>'Income Statement Year 1 '!F16</f>
        <v>104.4</v>
      </c>
      <c r="G17" s="96">
        <f>'Income Statement Year 1 '!G16</f>
        <v>90</v>
      </c>
      <c r="H17" s="96">
        <f>'Income Statement Year 1 '!H16</f>
        <v>103.2</v>
      </c>
      <c r="I17" s="96">
        <f>'Income Statement Year 1 '!I16</f>
        <v>105.60000000000001</v>
      </c>
      <c r="J17" s="96">
        <f>'Income Statement Year 1 '!J16</f>
        <v>60</v>
      </c>
      <c r="K17" s="96">
        <f>'Income Statement Year 1 '!K16</f>
        <v>99.600000000000009</v>
      </c>
      <c r="L17" s="96">
        <f>'Income Statement Year 1 '!L16</f>
        <v>108</v>
      </c>
      <c r="M17" s="96">
        <f>'Income Statement Year 1 '!M16</f>
        <v>114</v>
      </c>
      <c r="N17" s="51"/>
    </row>
    <row r="18" spans="1:14" hidden="1">
      <c r="A18" s="119"/>
      <c r="B18" s="96"/>
      <c r="C18" s="96"/>
      <c r="D18" s="96"/>
      <c r="E18" s="96"/>
      <c r="F18" s="96"/>
      <c r="G18" s="96"/>
      <c r="H18" s="96"/>
      <c r="I18" s="96"/>
      <c r="J18" s="96"/>
      <c r="K18" s="96"/>
      <c r="L18" s="96"/>
      <c r="M18" s="96"/>
      <c r="N18" s="51"/>
    </row>
    <row r="19" spans="1:14">
      <c r="A19" s="120" t="s">
        <v>73</v>
      </c>
      <c r="B19" s="96">
        <f>B17+B18</f>
        <v>90</v>
      </c>
      <c r="C19" s="96">
        <f t="shared" ref="C19:M19" si="3">C17+C18</f>
        <v>102</v>
      </c>
      <c r="D19" s="96">
        <f t="shared" si="3"/>
        <v>108</v>
      </c>
      <c r="E19" s="96">
        <f t="shared" si="3"/>
        <v>99.600000000000009</v>
      </c>
      <c r="F19" s="96">
        <f t="shared" si="3"/>
        <v>104.4</v>
      </c>
      <c r="G19" s="96">
        <f t="shared" si="3"/>
        <v>90</v>
      </c>
      <c r="H19" s="96">
        <f t="shared" si="3"/>
        <v>103.2</v>
      </c>
      <c r="I19" s="96">
        <f t="shared" si="3"/>
        <v>105.60000000000001</v>
      </c>
      <c r="J19" s="96">
        <f t="shared" si="3"/>
        <v>60</v>
      </c>
      <c r="K19" s="96">
        <f t="shared" si="3"/>
        <v>99.600000000000009</v>
      </c>
      <c r="L19" s="96">
        <f t="shared" si="3"/>
        <v>108</v>
      </c>
      <c r="M19" s="96">
        <f t="shared" si="3"/>
        <v>114</v>
      </c>
      <c r="N19" s="51"/>
    </row>
    <row r="20" spans="1:14" hidden="1">
      <c r="A20" s="120"/>
      <c r="B20" s="96"/>
      <c r="C20" s="96"/>
      <c r="D20" s="96"/>
      <c r="E20" s="96"/>
      <c r="F20" s="96"/>
      <c r="G20" s="96"/>
      <c r="H20" s="96"/>
      <c r="I20" s="96"/>
      <c r="J20" s="96"/>
      <c r="K20" s="96"/>
      <c r="L20" s="96"/>
      <c r="M20" s="96"/>
      <c r="N20" s="51"/>
    </row>
    <row r="21" spans="1:14">
      <c r="A21" s="118" t="s">
        <v>69</v>
      </c>
      <c r="B21" s="96"/>
      <c r="C21" s="96"/>
      <c r="D21" s="96"/>
      <c r="E21" s="96"/>
      <c r="F21" s="96"/>
      <c r="G21" s="96"/>
      <c r="H21" s="96"/>
      <c r="I21" s="96"/>
      <c r="J21" s="96"/>
      <c r="K21" s="96"/>
      <c r="L21" s="96"/>
      <c r="M21" s="96"/>
      <c r="N21" s="51"/>
    </row>
    <row r="22" spans="1:14">
      <c r="A22" s="119" t="s">
        <v>70</v>
      </c>
      <c r="B22" s="96">
        <f>'Income Statement Year 1 '!B19</f>
        <v>200</v>
      </c>
      <c r="C22" s="96">
        <f>'Income Statement Year 1 '!C19</f>
        <v>200</v>
      </c>
      <c r="D22" s="96">
        <f>'Income Statement Year 1 '!D19</f>
        <v>200</v>
      </c>
      <c r="E22" s="96">
        <f>'Income Statement Year 1 '!E19</f>
        <v>200</v>
      </c>
      <c r="F22" s="96">
        <f>'Income Statement Year 1 '!F19</f>
        <v>200</v>
      </c>
      <c r="G22" s="96">
        <f>'Income Statement Year 1 '!G19</f>
        <v>200</v>
      </c>
      <c r="H22" s="96">
        <f>'Income Statement Year 1 '!H19</f>
        <v>200</v>
      </c>
      <c r="I22" s="96">
        <f>'Income Statement Year 1 '!I19</f>
        <v>200</v>
      </c>
      <c r="J22" s="96">
        <f>'Income Statement Year 1 '!J19</f>
        <v>200</v>
      </c>
      <c r="K22" s="96">
        <f>'Income Statement Year 1 '!K19</f>
        <v>200</v>
      </c>
      <c r="L22" s="96">
        <f>'Income Statement Year 1 '!L19</f>
        <v>200</v>
      </c>
      <c r="M22" s="96">
        <f>'Income Statement Year 1 '!M19</f>
        <v>200</v>
      </c>
      <c r="N22" s="51"/>
    </row>
    <row r="23" spans="1:14">
      <c r="A23" s="119" t="s">
        <v>71</v>
      </c>
      <c r="B23" s="96">
        <v>0</v>
      </c>
      <c r="C23" s="96">
        <v>0</v>
      </c>
      <c r="D23" s="96">
        <v>0</v>
      </c>
      <c r="E23" s="96">
        <v>0</v>
      </c>
      <c r="F23" s="96">
        <v>0</v>
      </c>
      <c r="G23" s="96">
        <v>0</v>
      </c>
      <c r="H23" s="96">
        <v>0</v>
      </c>
      <c r="I23" s="96">
        <v>0</v>
      </c>
      <c r="J23" s="96">
        <v>0</v>
      </c>
      <c r="K23" s="96">
        <v>0</v>
      </c>
      <c r="L23" s="96">
        <v>0</v>
      </c>
      <c r="M23" s="96">
        <v>0</v>
      </c>
      <c r="N23" s="51"/>
    </row>
    <row r="24" spans="1:14">
      <c r="A24" s="119" t="s">
        <v>165</v>
      </c>
      <c r="B24" s="96">
        <f>'Income Statement Year 1 '!B22</f>
        <v>36</v>
      </c>
      <c r="C24" s="96">
        <f>'Income Statement Year 1 '!C22</f>
        <v>40.800000000000004</v>
      </c>
      <c r="D24" s="96">
        <f>'Income Statement Year 1 '!D22</f>
        <v>43.2</v>
      </c>
      <c r="E24" s="96">
        <f>'Income Statement Year 1 '!E22</f>
        <v>39.840000000000003</v>
      </c>
      <c r="F24" s="96">
        <f>'Income Statement Year 1 '!F22</f>
        <v>41.760000000000005</v>
      </c>
      <c r="G24" s="96">
        <f>'Income Statement Year 1 '!G22</f>
        <v>36</v>
      </c>
      <c r="H24" s="96">
        <f>'Income Statement Year 1 '!H22</f>
        <v>41.28</v>
      </c>
      <c r="I24" s="96">
        <f>'Income Statement Year 1 '!I22</f>
        <v>42.24</v>
      </c>
      <c r="J24" s="96">
        <f>'Income Statement Year 1 '!J22</f>
        <v>24</v>
      </c>
      <c r="K24" s="96">
        <f>'Income Statement Year 1 '!K22</f>
        <v>39.840000000000003</v>
      </c>
      <c r="L24" s="96">
        <f>'Income Statement Year 1 '!L22</f>
        <v>43.2</v>
      </c>
      <c r="M24" s="96">
        <f>'Income Statement Year 1 '!M22</f>
        <v>45.6</v>
      </c>
      <c r="N24" s="51"/>
    </row>
    <row r="25" spans="1:14">
      <c r="A25" s="119" t="s">
        <v>162</v>
      </c>
      <c r="B25" s="121">
        <v>26.94</v>
      </c>
      <c r="C25" s="121">
        <v>26.94</v>
      </c>
      <c r="D25" s="121">
        <v>26.94</v>
      </c>
      <c r="E25" s="121">
        <v>26.94</v>
      </c>
      <c r="F25" s="121">
        <v>26.94</v>
      </c>
      <c r="G25" s="121">
        <v>26.94</v>
      </c>
      <c r="H25" s="121">
        <v>26.94</v>
      </c>
      <c r="I25" s="121">
        <v>26.94</v>
      </c>
      <c r="J25" s="121">
        <v>26.94</v>
      </c>
      <c r="K25" s="121">
        <v>26.94</v>
      </c>
      <c r="L25" s="121">
        <v>26.94</v>
      </c>
      <c r="M25" s="96">
        <f>SUM(B25:L25)</f>
        <v>296.34000000000003</v>
      </c>
      <c r="N25" s="51"/>
    </row>
    <row r="26" spans="1:14">
      <c r="A26" s="119" t="s">
        <v>164</v>
      </c>
      <c r="B26" s="121">
        <v>30.75</v>
      </c>
      <c r="C26" s="121">
        <v>30.75</v>
      </c>
      <c r="D26" s="121">
        <v>30.75</v>
      </c>
      <c r="E26" s="121">
        <v>30.75</v>
      </c>
      <c r="F26" s="121">
        <v>30.75</v>
      </c>
      <c r="G26" s="121">
        <v>30.75</v>
      </c>
      <c r="H26" s="121">
        <v>30.75</v>
      </c>
      <c r="I26" s="121">
        <v>30.75</v>
      </c>
      <c r="J26" s="121">
        <v>30.75</v>
      </c>
      <c r="K26" s="121">
        <v>30.75</v>
      </c>
      <c r="L26" s="121">
        <v>30.75</v>
      </c>
      <c r="M26" s="96">
        <f>SUM(B26:L26)</f>
        <v>338.25</v>
      </c>
      <c r="N26" s="51"/>
    </row>
    <row r="27" spans="1:14" ht="31.2">
      <c r="A27" s="120" t="s">
        <v>72</v>
      </c>
      <c r="B27" s="96">
        <f>SUM(B22:B24)</f>
        <v>236</v>
      </c>
      <c r="C27" s="96">
        <f t="shared" ref="C27:M27" si="4">SUM(C22:C24)</f>
        <v>240.8</v>
      </c>
      <c r="D27" s="96">
        <f t="shared" si="4"/>
        <v>243.2</v>
      </c>
      <c r="E27" s="96">
        <f t="shared" si="4"/>
        <v>239.84</v>
      </c>
      <c r="F27" s="96">
        <f t="shared" si="4"/>
        <v>241.76</v>
      </c>
      <c r="G27" s="96">
        <f t="shared" si="4"/>
        <v>236</v>
      </c>
      <c r="H27" s="96">
        <f t="shared" si="4"/>
        <v>241.28</v>
      </c>
      <c r="I27" s="96">
        <f t="shared" si="4"/>
        <v>242.24</v>
      </c>
      <c r="J27" s="96">
        <f t="shared" si="4"/>
        <v>224</v>
      </c>
      <c r="K27" s="96">
        <f t="shared" si="4"/>
        <v>239.84</v>
      </c>
      <c r="L27" s="96">
        <f t="shared" si="4"/>
        <v>243.2</v>
      </c>
      <c r="M27" s="96">
        <f>SUM(M22:M26)</f>
        <v>880.19</v>
      </c>
      <c r="N27" s="51"/>
    </row>
    <row r="28" spans="1:14">
      <c r="A28" s="119" t="s">
        <v>163</v>
      </c>
      <c r="B28" s="96">
        <v>85.42</v>
      </c>
      <c r="C28" s="96">
        <v>85.42</v>
      </c>
      <c r="D28" s="96">
        <v>85.42</v>
      </c>
      <c r="E28" s="96">
        <v>85.42</v>
      </c>
      <c r="F28" s="96">
        <v>85.42</v>
      </c>
      <c r="G28" s="96">
        <v>85.42</v>
      </c>
      <c r="H28" s="96">
        <v>85.42</v>
      </c>
      <c r="I28" s="96">
        <v>85.42</v>
      </c>
      <c r="J28" s="96">
        <v>85.42</v>
      </c>
      <c r="K28" s="96">
        <v>85.42</v>
      </c>
      <c r="L28" s="96">
        <v>85.42</v>
      </c>
      <c r="M28" s="96">
        <f>SUM(B28:L28)</f>
        <v>939.61999999999978</v>
      </c>
      <c r="N28" s="51"/>
    </row>
    <row r="29" spans="1:14" hidden="1">
      <c r="A29" s="119"/>
      <c r="B29" s="96"/>
      <c r="C29" s="96"/>
      <c r="D29" s="96"/>
      <c r="E29" s="96"/>
      <c r="F29" s="96"/>
      <c r="G29" s="96"/>
      <c r="H29" s="96"/>
      <c r="I29" s="96"/>
      <c r="J29" s="96"/>
      <c r="K29" s="96"/>
      <c r="L29" s="96"/>
      <c r="M29" s="96"/>
      <c r="N29" s="51"/>
    </row>
    <row r="30" spans="1:14">
      <c r="A30" s="118" t="s">
        <v>74</v>
      </c>
      <c r="B30" s="96">
        <f>B19+B27</f>
        <v>326</v>
      </c>
      <c r="C30" s="96">
        <f t="shared" ref="C30:M30" si="5">C19+C27</f>
        <v>342.8</v>
      </c>
      <c r="D30" s="96">
        <f t="shared" si="5"/>
        <v>351.2</v>
      </c>
      <c r="E30" s="96">
        <f t="shared" si="5"/>
        <v>339.44</v>
      </c>
      <c r="F30" s="96">
        <f t="shared" si="5"/>
        <v>346.15999999999997</v>
      </c>
      <c r="G30" s="96">
        <f t="shared" si="5"/>
        <v>326</v>
      </c>
      <c r="H30" s="96">
        <f t="shared" si="5"/>
        <v>344.48</v>
      </c>
      <c r="I30" s="96">
        <f t="shared" si="5"/>
        <v>347.84000000000003</v>
      </c>
      <c r="J30" s="96">
        <f t="shared" si="5"/>
        <v>284</v>
      </c>
      <c r="K30" s="96">
        <f t="shared" si="5"/>
        <v>339.44</v>
      </c>
      <c r="L30" s="96">
        <f t="shared" si="5"/>
        <v>351.2</v>
      </c>
      <c r="M30" s="96">
        <f>M19+M27+M28</f>
        <v>1933.81</v>
      </c>
      <c r="N30" s="51"/>
    </row>
    <row r="31" spans="1:14" hidden="1">
      <c r="A31" s="119"/>
      <c r="B31" s="96"/>
      <c r="C31" s="96"/>
      <c r="D31" s="96"/>
      <c r="E31" s="96"/>
      <c r="F31" s="96"/>
      <c r="G31" s="96"/>
      <c r="H31" s="96"/>
      <c r="I31" s="96"/>
      <c r="J31" s="96"/>
      <c r="K31" s="96"/>
      <c r="L31" s="96"/>
      <c r="M31" s="96"/>
      <c r="N31" s="51"/>
    </row>
    <row r="32" spans="1:14">
      <c r="A32" s="119" t="s">
        <v>75</v>
      </c>
      <c r="B32" s="96">
        <f>B14</f>
        <v>3450</v>
      </c>
      <c r="C32" s="96">
        <f>C14</f>
        <v>3634</v>
      </c>
      <c r="D32" s="96">
        <f t="shared" ref="D32:M32" si="6">D14</f>
        <v>3831.2</v>
      </c>
      <c r="E32" s="96">
        <f t="shared" si="6"/>
        <v>3978</v>
      </c>
      <c r="F32" s="96">
        <f t="shared" si="6"/>
        <v>4160.5599999999995</v>
      </c>
      <c r="G32" s="96">
        <f t="shared" si="6"/>
        <v>4264.3999999999996</v>
      </c>
      <c r="H32" s="96">
        <f t="shared" si="6"/>
        <v>4454.3999999999996</v>
      </c>
      <c r="I32" s="96">
        <f t="shared" si="6"/>
        <v>4637.92</v>
      </c>
      <c r="J32" s="96">
        <f t="shared" si="6"/>
        <v>4590.08</v>
      </c>
      <c r="K32" s="96">
        <f t="shared" si="6"/>
        <v>4804.08</v>
      </c>
      <c r="L32" s="96">
        <f t="shared" si="6"/>
        <v>5004.6400000000003</v>
      </c>
      <c r="M32" s="96">
        <f>M14</f>
        <v>5223.4400000000005</v>
      </c>
      <c r="N32" s="51"/>
    </row>
    <row r="33" spans="1:14">
      <c r="A33" s="119" t="s">
        <v>76</v>
      </c>
      <c r="B33" s="96">
        <f>B30</f>
        <v>326</v>
      </c>
      <c r="C33" s="96">
        <f t="shared" ref="C33:M33" si="7">C30</f>
        <v>342.8</v>
      </c>
      <c r="D33" s="96">
        <f t="shared" si="7"/>
        <v>351.2</v>
      </c>
      <c r="E33" s="96">
        <f t="shared" si="7"/>
        <v>339.44</v>
      </c>
      <c r="F33" s="96">
        <f t="shared" si="7"/>
        <v>346.15999999999997</v>
      </c>
      <c r="G33" s="96">
        <f t="shared" si="7"/>
        <v>326</v>
      </c>
      <c r="H33" s="96">
        <f t="shared" si="7"/>
        <v>344.48</v>
      </c>
      <c r="I33" s="96">
        <f t="shared" si="7"/>
        <v>347.84000000000003</v>
      </c>
      <c r="J33" s="96">
        <f t="shared" si="7"/>
        <v>284</v>
      </c>
      <c r="K33" s="96">
        <f t="shared" si="7"/>
        <v>339.44</v>
      </c>
      <c r="L33" s="96">
        <f t="shared" si="7"/>
        <v>351.2</v>
      </c>
      <c r="M33" s="96">
        <f>M30</f>
        <v>1933.81</v>
      </c>
      <c r="N33" s="51"/>
    </row>
    <row r="34" spans="1:14" hidden="1">
      <c r="A34" s="119"/>
      <c r="B34" s="96"/>
      <c r="C34" s="96"/>
      <c r="D34" s="96"/>
      <c r="E34" s="96"/>
      <c r="F34" s="96"/>
      <c r="G34" s="96"/>
      <c r="H34" s="96"/>
      <c r="I34" s="96"/>
      <c r="J34" s="96"/>
      <c r="K34" s="96"/>
      <c r="L34" s="96"/>
      <c r="M34" s="96"/>
      <c r="N34" s="51"/>
    </row>
    <row r="35" spans="1:14">
      <c r="A35" s="118" t="s">
        <v>79</v>
      </c>
      <c r="B35" s="96">
        <f>B32-B33</f>
        <v>3124</v>
      </c>
      <c r="C35" s="96">
        <f t="shared" ref="C35:M35" si="8">C32-C33</f>
        <v>3291.2</v>
      </c>
      <c r="D35" s="96">
        <f t="shared" si="8"/>
        <v>3480</v>
      </c>
      <c r="E35" s="96">
        <f t="shared" si="8"/>
        <v>3638.56</v>
      </c>
      <c r="F35" s="96">
        <f t="shared" si="8"/>
        <v>3814.3999999999996</v>
      </c>
      <c r="G35" s="96">
        <f t="shared" si="8"/>
        <v>3938.3999999999996</v>
      </c>
      <c r="H35" s="96">
        <f t="shared" si="8"/>
        <v>4109.92</v>
      </c>
      <c r="I35" s="96">
        <f t="shared" si="8"/>
        <v>4290.08</v>
      </c>
      <c r="J35" s="96">
        <f t="shared" si="8"/>
        <v>4306.08</v>
      </c>
      <c r="K35" s="96">
        <f t="shared" si="8"/>
        <v>4464.6400000000003</v>
      </c>
      <c r="L35" s="96">
        <f t="shared" si="8"/>
        <v>4653.4400000000005</v>
      </c>
      <c r="M35" s="96">
        <f t="shared" si="8"/>
        <v>3289.6300000000006</v>
      </c>
      <c r="N35" s="51"/>
    </row>
    <row r="36" spans="1:14" hidden="1">
      <c r="A36" s="119" t="s">
        <v>80</v>
      </c>
      <c r="B36" s="96">
        <v>0</v>
      </c>
      <c r="C36" s="96">
        <v>0</v>
      </c>
      <c r="D36" s="96">
        <v>0</v>
      </c>
      <c r="E36" s="96">
        <v>0</v>
      </c>
      <c r="F36" s="96">
        <v>0</v>
      </c>
      <c r="G36" s="96">
        <v>0</v>
      </c>
      <c r="H36" s="96">
        <v>0</v>
      </c>
      <c r="I36" s="96">
        <v>0</v>
      </c>
      <c r="J36" s="96">
        <v>0</v>
      </c>
      <c r="K36" s="96">
        <v>0</v>
      </c>
      <c r="L36" s="96">
        <v>0</v>
      </c>
      <c r="M36" s="96">
        <v>0</v>
      </c>
      <c r="N36" s="51"/>
    </row>
    <row r="37" spans="1:14">
      <c r="A37" s="119" t="s">
        <v>81</v>
      </c>
      <c r="B37" s="96">
        <f>B35-B36</f>
        <v>3124</v>
      </c>
      <c r="C37" s="96">
        <f t="shared" ref="C37:M37" si="9">C35-C36</f>
        <v>3291.2</v>
      </c>
      <c r="D37" s="96">
        <f t="shared" si="9"/>
        <v>3480</v>
      </c>
      <c r="E37" s="96">
        <f t="shared" si="9"/>
        <v>3638.56</v>
      </c>
      <c r="F37" s="96">
        <f t="shared" si="9"/>
        <v>3814.3999999999996</v>
      </c>
      <c r="G37" s="96">
        <f t="shared" si="9"/>
        <v>3938.3999999999996</v>
      </c>
      <c r="H37" s="96">
        <f t="shared" si="9"/>
        <v>4109.92</v>
      </c>
      <c r="I37" s="96">
        <f t="shared" si="9"/>
        <v>4290.08</v>
      </c>
      <c r="J37" s="96">
        <f t="shared" si="9"/>
        <v>4306.08</v>
      </c>
      <c r="K37" s="96">
        <f t="shared" si="9"/>
        <v>4464.6400000000003</v>
      </c>
      <c r="L37" s="96">
        <f t="shared" si="9"/>
        <v>4653.4400000000005</v>
      </c>
      <c r="M37" s="132">
        <f t="shared" si="9"/>
        <v>3289.6300000000006</v>
      </c>
      <c r="N37" s="51"/>
    </row>
    <row r="38" spans="1:14">
      <c r="A38" s="20"/>
      <c r="B38" s="20"/>
      <c r="C38" s="20"/>
      <c r="D38" s="20"/>
      <c r="E38" s="20"/>
      <c r="F38" s="20"/>
      <c r="G38" s="20"/>
      <c r="H38" s="20"/>
      <c r="I38" s="20"/>
      <c r="J38" s="20"/>
      <c r="K38" s="20"/>
      <c r="L38" s="20"/>
      <c r="M38" s="20"/>
      <c r="N38" s="52"/>
    </row>
    <row r="39" spans="1:14" hidden="1">
      <c r="A39" s="20"/>
      <c r="B39" s="20">
        <f>B6+B9-B17-B27+B10</f>
        <v>3124</v>
      </c>
      <c r="C39" s="20">
        <f>+B39+C12-C17-C27</f>
        <v>3291.2</v>
      </c>
      <c r="D39" s="20">
        <f t="shared" ref="D39:M39" si="10">+C39+D12-D17-D27</f>
        <v>3480</v>
      </c>
      <c r="E39" s="20">
        <f t="shared" si="10"/>
        <v>3638.56</v>
      </c>
      <c r="F39" s="20">
        <f t="shared" si="10"/>
        <v>3814.3999999999996</v>
      </c>
      <c r="G39" s="20">
        <f t="shared" si="10"/>
        <v>3938.3999999999996</v>
      </c>
      <c r="H39" s="20">
        <f t="shared" si="10"/>
        <v>4109.92</v>
      </c>
      <c r="I39" s="20">
        <f t="shared" si="10"/>
        <v>4290.08</v>
      </c>
      <c r="J39" s="20">
        <f t="shared" si="10"/>
        <v>4306.08</v>
      </c>
      <c r="K39" s="20">
        <f t="shared" si="10"/>
        <v>4464.6399999999994</v>
      </c>
      <c r="L39" s="20">
        <f t="shared" si="10"/>
        <v>4653.4399999999996</v>
      </c>
      <c r="M39" s="20">
        <f t="shared" si="10"/>
        <v>4229.25</v>
      </c>
      <c r="N39" s="15"/>
    </row>
    <row r="40" spans="1:14" hidden="1">
      <c r="A40" s="20"/>
      <c r="B40" s="20">
        <f>+B39-B37</f>
        <v>0</v>
      </c>
      <c r="C40" s="20">
        <f t="shared" ref="C40:M40" si="11">+C39-C37</f>
        <v>0</v>
      </c>
      <c r="D40" s="20">
        <f t="shared" si="11"/>
        <v>0</v>
      </c>
      <c r="E40" s="20">
        <f t="shared" si="11"/>
        <v>0</v>
      </c>
      <c r="F40" s="20">
        <f t="shared" si="11"/>
        <v>0</v>
      </c>
      <c r="G40" s="20">
        <f t="shared" si="11"/>
        <v>0</v>
      </c>
      <c r="H40" s="20">
        <f t="shared" si="11"/>
        <v>0</v>
      </c>
      <c r="I40" s="20">
        <f t="shared" si="11"/>
        <v>0</v>
      </c>
      <c r="J40" s="20">
        <f t="shared" si="11"/>
        <v>0</v>
      </c>
      <c r="K40" s="20">
        <f t="shared" si="11"/>
        <v>0</v>
      </c>
      <c r="L40" s="20">
        <f t="shared" si="11"/>
        <v>0</v>
      </c>
      <c r="M40" s="20">
        <f t="shared" si="11"/>
        <v>939.61999999999944</v>
      </c>
      <c r="N40" s="16"/>
    </row>
    <row r="41" spans="1:14" ht="17.399999999999999" hidden="1">
      <c r="C41" s="12"/>
      <c r="N41" s="16"/>
    </row>
    <row r="42" spans="1:14">
      <c r="N42" s="17"/>
    </row>
    <row r="43" spans="1:14">
      <c r="N43" s="17"/>
    </row>
    <row r="44" spans="1:14">
      <c r="N44" s="16"/>
    </row>
    <row r="45" spans="1:14">
      <c r="N45" s="18"/>
    </row>
    <row r="46" spans="1:14">
      <c r="N46" s="14"/>
    </row>
    <row r="47" spans="1:14">
      <c r="N47" s="13"/>
    </row>
    <row r="48" spans="1:14">
      <c r="N48" s="13"/>
    </row>
    <row r="49" spans="14:14">
      <c r="N49" s="13"/>
    </row>
  </sheetData>
  <mergeCells count="4">
    <mergeCell ref="A1:M1"/>
    <mergeCell ref="A2:M2"/>
    <mergeCell ref="A3:M3"/>
    <mergeCell ref="A4: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F850-74DF-2845-BA78-466C00D9CB41}">
  <dimension ref="A1:M40"/>
  <sheetViews>
    <sheetView workbookViewId="0">
      <selection activeCell="M39" sqref="M39"/>
    </sheetView>
  </sheetViews>
  <sheetFormatPr baseColWidth="10" defaultRowHeight="15.6"/>
  <cols>
    <col min="1" max="1" width="24.296875" customWidth="1"/>
  </cols>
  <sheetData>
    <row r="1" spans="1:13">
      <c r="A1" s="60" t="s">
        <v>168</v>
      </c>
      <c r="B1" s="60"/>
      <c r="C1" s="60"/>
      <c r="D1" s="60"/>
      <c r="E1" s="60"/>
      <c r="F1" s="60"/>
      <c r="G1" s="60"/>
      <c r="H1" s="60"/>
      <c r="I1" s="60"/>
      <c r="J1" s="60"/>
      <c r="K1" s="60"/>
      <c r="L1" s="60"/>
      <c r="M1" s="60"/>
    </row>
    <row r="2" spans="1:13">
      <c r="A2" s="60" t="s">
        <v>174</v>
      </c>
      <c r="B2" s="60"/>
      <c r="C2" s="60"/>
      <c r="D2" s="60"/>
      <c r="E2" s="60"/>
      <c r="F2" s="60"/>
      <c r="G2" s="60"/>
      <c r="H2" s="60"/>
      <c r="I2" s="60"/>
      <c r="J2" s="60"/>
      <c r="K2" s="60"/>
      <c r="L2" s="60"/>
      <c r="M2" s="60"/>
    </row>
    <row r="3" spans="1:13">
      <c r="A3" s="60" t="s">
        <v>172</v>
      </c>
      <c r="B3" s="60"/>
      <c r="C3" s="60"/>
      <c r="D3" s="60"/>
      <c r="E3" s="60"/>
      <c r="F3" s="60"/>
      <c r="G3" s="60"/>
      <c r="H3" s="60"/>
      <c r="I3" s="60"/>
      <c r="J3" s="60"/>
      <c r="K3" s="60"/>
      <c r="L3" s="60"/>
      <c r="M3" s="60"/>
    </row>
    <row r="4" spans="1:13">
      <c r="A4" s="60" t="s">
        <v>171</v>
      </c>
      <c r="B4" s="60"/>
      <c r="C4" s="60"/>
      <c r="D4" s="60"/>
      <c r="E4" s="60"/>
      <c r="F4" s="60"/>
      <c r="G4" s="60"/>
      <c r="H4" s="60"/>
      <c r="I4" s="60"/>
      <c r="J4" s="60"/>
      <c r="K4" s="60"/>
      <c r="L4" s="60"/>
      <c r="M4" s="60"/>
    </row>
    <row r="6" spans="1:13">
      <c r="A6" s="124"/>
      <c r="B6" s="123" t="s">
        <v>6</v>
      </c>
      <c r="C6" s="123" t="s">
        <v>7</v>
      </c>
      <c r="D6" s="123" t="s">
        <v>8</v>
      </c>
      <c r="E6" s="123" t="s">
        <v>9</v>
      </c>
      <c r="F6" s="123" t="s">
        <v>10</v>
      </c>
      <c r="G6" s="123" t="s">
        <v>11</v>
      </c>
      <c r="H6" s="123" t="s">
        <v>12</v>
      </c>
      <c r="I6" s="123" t="s">
        <v>13</v>
      </c>
      <c r="J6" s="123" t="s">
        <v>14</v>
      </c>
      <c r="K6" s="123" t="s">
        <v>15</v>
      </c>
      <c r="L6" s="123" t="s">
        <v>16</v>
      </c>
      <c r="M6" s="123" t="s">
        <v>17</v>
      </c>
    </row>
    <row r="7" spans="1:13" ht="31.2">
      <c r="A7" s="118" t="s">
        <v>63</v>
      </c>
      <c r="B7" s="84">
        <f>'Cash Flow Year 1 '!M37</f>
        <v>3289.6300000000006</v>
      </c>
      <c r="C7" s="84">
        <f>B39</f>
        <v>3487.9900000000007</v>
      </c>
      <c r="D7" s="84">
        <f t="shared" ref="D7:M7" si="0">C39</f>
        <v>3741.7900000000009</v>
      </c>
      <c r="E7" s="84">
        <f t="shared" si="0"/>
        <v>3995.5900000000011</v>
      </c>
      <c r="F7" s="84">
        <f t="shared" si="0"/>
        <v>4249.3900000000012</v>
      </c>
      <c r="G7" s="84">
        <f t="shared" si="0"/>
        <v>4513.2700000000013</v>
      </c>
      <c r="H7" s="84">
        <f t="shared" si="0"/>
        <v>4767.0700000000015</v>
      </c>
      <c r="I7" s="84">
        <f t="shared" si="0"/>
        <v>5020.8700000000017</v>
      </c>
      <c r="J7" s="84">
        <f t="shared" si="0"/>
        <v>5274.6700000000019</v>
      </c>
      <c r="K7" s="84">
        <f t="shared" si="0"/>
        <v>5402.4700000000021</v>
      </c>
      <c r="L7" s="84">
        <f t="shared" si="0"/>
        <v>5605.8700000000017</v>
      </c>
      <c r="M7" s="84">
        <f t="shared" si="0"/>
        <v>5859.6700000000019</v>
      </c>
    </row>
    <row r="8" spans="1:13" hidden="1">
      <c r="A8" s="119"/>
      <c r="B8" s="84"/>
      <c r="C8" s="84"/>
      <c r="D8" s="84"/>
      <c r="E8" s="84"/>
      <c r="F8" s="84"/>
      <c r="G8" s="84"/>
      <c r="H8" s="84"/>
      <c r="I8" s="84"/>
      <c r="J8" s="84"/>
      <c r="K8" s="84"/>
      <c r="L8" s="84"/>
      <c r="M8" s="84"/>
    </row>
    <row r="9" spans="1:13">
      <c r="A9" s="118" t="s">
        <v>66</v>
      </c>
      <c r="B9" s="84"/>
      <c r="C9" s="84"/>
      <c r="D9" s="84"/>
      <c r="E9" s="84"/>
      <c r="F9" s="84"/>
      <c r="G9" s="84"/>
      <c r="H9" s="84"/>
      <c r="I9" s="84"/>
      <c r="J9" s="84"/>
      <c r="K9" s="84"/>
      <c r="L9" s="84"/>
      <c r="M9" s="84"/>
    </row>
    <row r="10" spans="1:13">
      <c r="A10" s="119" t="s">
        <v>65</v>
      </c>
      <c r="B10" s="84">
        <f>'Income Statement Year 2 '!B11+'Income Statement Year 2 '!B12</f>
        <v>352.8</v>
      </c>
      <c r="C10" s="84">
        <f>'Income Statement Year 2 '!C11+'Income Statement Year 2 '!C12</f>
        <v>399</v>
      </c>
      <c r="D10" s="84">
        <f>'Income Statement Year 2 '!D11+'Income Statement Year 2 '!D12</f>
        <v>399</v>
      </c>
      <c r="E10" s="84">
        <f>'Income Statement Year 2 '!E11+'Income Statement Year 2 '!E12</f>
        <v>399</v>
      </c>
      <c r="F10" s="84">
        <f>'Income Statement Year 2 '!F11+'Income Statement Year 2 '!F12</f>
        <v>407.40000000000003</v>
      </c>
      <c r="G10" s="84">
        <f>'Income Statement Year 2 '!G11+'Income Statement Year 2 '!G12</f>
        <v>399</v>
      </c>
      <c r="H10" s="84">
        <f>'Income Statement Year 2 '!H11+'Income Statement Year 2 '!H12</f>
        <v>399</v>
      </c>
      <c r="I10" s="84">
        <f>'Income Statement Year 2 '!I11+'Income Statement Year 2 '!I12</f>
        <v>399</v>
      </c>
      <c r="J10" s="84">
        <f>'Income Statement Year 2 '!J11+'Income Statement Year 2 '!J12</f>
        <v>294</v>
      </c>
      <c r="K10" s="84">
        <f>'Income Statement Year 2 '!K11+'Income Statement Year 2 '!K12</f>
        <v>357</v>
      </c>
      <c r="L10" s="84">
        <f>'Income Statement Year 2 '!L11+'Income Statement Year 2 '!L12</f>
        <v>399</v>
      </c>
      <c r="M10" s="84">
        <f>'Income Statement Year 2 '!M11+'Income Statement Year 2 '!M12</f>
        <v>411.6</v>
      </c>
    </row>
    <row r="11" spans="1:13">
      <c r="A11" s="119" t="s">
        <v>64</v>
      </c>
      <c r="B11" s="84">
        <f>'Income Statement Year 2 '!B13</f>
        <v>235.20000000000002</v>
      </c>
      <c r="C11" s="84">
        <f>'Income Statement Year 2 '!C13</f>
        <v>266</v>
      </c>
      <c r="D11" s="84">
        <f>'Income Statement Year 2 '!D13</f>
        <v>266</v>
      </c>
      <c r="E11" s="84">
        <f>'Income Statement Year 2 '!E13</f>
        <v>266</v>
      </c>
      <c r="F11" s="84">
        <f>'Income Statement Year 2 '!F13</f>
        <v>271.60000000000002</v>
      </c>
      <c r="G11" s="84">
        <f>'Income Statement Year 2 '!G13</f>
        <v>266</v>
      </c>
      <c r="H11" s="84">
        <f>'Income Statement Year 2 '!H13</f>
        <v>266</v>
      </c>
      <c r="I11" s="84">
        <f>'Income Statement Year 2 '!I13</f>
        <v>266</v>
      </c>
      <c r="J11" s="84">
        <f>'Income Statement Year 2 '!J13</f>
        <v>196</v>
      </c>
      <c r="K11" s="84">
        <f>'Income Statement Year 2 '!K13</f>
        <v>238</v>
      </c>
      <c r="L11" s="84">
        <f>'Income Statement Year 2 '!L13</f>
        <v>266</v>
      </c>
      <c r="M11" s="84">
        <f>'Income Statement Year 2 '!M13</f>
        <v>274.40000000000003</v>
      </c>
    </row>
    <row r="12" spans="1:13" hidden="1">
      <c r="A12" s="119"/>
      <c r="B12" s="84"/>
      <c r="C12" s="84"/>
      <c r="D12" s="84"/>
      <c r="E12" s="84"/>
      <c r="F12" s="84"/>
      <c r="G12" s="84"/>
      <c r="H12" s="84"/>
      <c r="I12" s="84"/>
      <c r="J12" s="84"/>
      <c r="K12" s="84"/>
      <c r="L12" s="84"/>
      <c r="M12" s="84"/>
    </row>
    <row r="13" spans="1:13">
      <c r="A13" s="118" t="s">
        <v>67</v>
      </c>
      <c r="B13" s="84">
        <f>B10+B11</f>
        <v>588</v>
      </c>
      <c r="C13" s="84">
        <f>C10+C11</f>
        <v>665</v>
      </c>
      <c r="D13" s="84">
        <f t="shared" ref="D13:M13" si="1">D10+D11</f>
        <v>665</v>
      </c>
      <c r="E13" s="84">
        <f t="shared" si="1"/>
        <v>665</v>
      </c>
      <c r="F13" s="84">
        <f t="shared" si="1"/>
        <v>679</v>
      </c>
      <c r="G13" s="84">
        <f t="shared" si="1"/>
        <v>665</v>
      </c>
      <c r="H13" s="84">
        <f t="shared" si="1"/>
        <v>665</v>
      </c>
      <c r="I13" s="84">
        <f t="shared" si="1"/>
        <v>665</v>
      </c>
      <c r="J13" s="84">
        <f t="shared" si="1"/>
        <v>490</v>
      </c>
      <c r="K13" s="84">
        <f t="shared" si="1"/>
        <v>595</v>
      </c>
      <c r="L13" s="84">
        <f t="shared" si="1"/>
        <v>665</v>
      </c>
      <c r="M13" s="84">
        <f t="shared" si="1"/>
        <v>686</v>
      </c>
    </row>
    <row r="14" spans="1:13" hidden="1">
      <c r="A14" s="118"/>
      <c r="B14" s="84"/>
      <c r="C14" s="84"/>
      <c r="D14" s="84"/>
      <c r="E14" s="84"/>
      <c r="F14" s="84"/>
      <c r="G14" s="84"/>
      <c r="H14" s="84"/>
      <c r="I14" s="84"/>
      <c r="J14" s="84"/>
      <c r="K14" s="84"/>
      <c r="L14" s="84"/>
      <c r="M14" s="84"/>
    </row>
    <row r="15" spans="1:13" ht="31.2">
      <c r="A15" s="118" t="s">
        <v>77</v>
      </c>
      <c r="B15" s="84">
        <f>B7+B13</f>
        <v>3877.6300000000006</v>
      </c>
      <c r="C15" s="84">
        <f t="shared" ref="C15:M15" si="2">C7+C13</f>
        <v>4152.9900000000007</v>
      </c>
      <c r="D15" s="84">
        <f t="shared" si="2"/>
        <v>4406.7900000000009</v>
      </c>
      <c r="E15" s="84">
        <f t="shared" si="2"/>
        <v>4660.5900000000011</v>
      </c>
      <c r="F15" s="84">
        <f t="shared" si="2"/>
        <v>4928.3900000000012</v>
      </c>
      <c r="G15" s="84">
        <f t="shared" si="2"/>
        <v>5178.2700000000013</v>
      </c>
      <c r="H15" s="84">
        <f t="shared" si="2"/>
        <v>5432.0700000000015</v>
      </c>
      <c r="I15" s="84">
        <f t="shared" si="2"/>
        <v>5685.8700000000017</v>
      </c>
      <c r="J15" s="84">
        <f t="shared" si="2"/>
        <v>5764.6700000000019</v>
      </c>
      <c r="K15" s="84">
        <f t="shared" si="2"/>
        <v>5997.4700000000021</v>
      </c>
      <c r="L15" s="84">
        <f t="shared" si="2"/>
        <v>6270.8700000000017</v>
      </c>
      <c r="M15" s="84">
        <f t="shared" si="2"/>
        <v>6545.6700000000019</v>
      </c>
    </row>
    <row r="16" spans="1:13" hidden="1">
      <c r="A16" s="119"/>
      <c r="B16" s="84"/>
      <c r="C16" s="84"/>
      <c r="D16" s="84"/>
      <c r="E16" s="84"/>
      <c r="F16" s="84"/>
      <c r="G16" s="84"/>
      <c r="H16" s="84"/>
      <c r="I16" s="84"/>
      <c r="J16" s="84"/>
      <c r="K16" s="84"/>
      <c r="L16" s="84"/>
      <c r="M16" s="84"/>
    </row>
    <row r="17" spans="1:13">
      <c r="A17" s="118" t="s">
        <v>68</v>
      </c>
      <c r="B17" s="84"/>
      <c r="C17" s="84"/>
      <c r="D17" s="84"/>
      <c r="E17" s="84"/>
      <c r="F17" s="84"/>
      <c r="G17" s="84"/>
      <c r="H17" s="84"/>
      <c r="I17" s="84"/>
      <c r="J17" s="84"/>
      <c r="K17" s="84"/>
      <c r="L17" s="84"/>
      <c r="M17" s="84"/>
    </row>
    <row r="18" spans="1:13">
      <c r="A18" s="119" t="s">
        <v>48</v>
      </c>
      <c r="B18" s="84">
        <f>'Income Statement Year 2 '!B15</f>
        <v>117.60000000000001</v>
      </c>
      <c r="C18" s="84">
        <f>'Income Statement Year 2 '!C15</f>
        <v>133</v>
      </c>
      <c r="D18" s="84">
        <f>'Income Statement Year 2 '!D15</f>
        <v>133</v>
      </c>
      <c r="E18" s="84">
        <f>'Income Statement Year 2 '!E15</f>
        <v>133</v>
      </c>
      <c r="F18" s="84">
        <f>'Income Statement Year 2 '!F15</f>
        <v>135.80000000000001</v>
      </c>
      <c r="G18" s="84">
        <f>'Income Statement Year 2 '!G15</f>
        <v>133</v>
      </c>
      <c r="H18" s="84">
        <f>'Income Statement Year 2 '!H15</f>
        <v>133</v>
      </c>
      <c r="I18" s="84">
        <f>'Income Statement Year 2 '!I15</f>
        <v>133</v>
      </c>
      <c r="J18" s="84">
        <f>'Income Statement Year 2 '!J15</f>
        <v>98</v>
      </c>
      <c r="K18" s="84">
        <f>'Income Statement Year 2 '!K15</f>
        <v>119</v>
      </c>
      <c r="L18" s="84">
        <f>'Income Statement Year 2 '!L15</f>
        <v>133</v>
      </c>
      <c r="M18" s="84">
        <f>'Income Statement Year 2 '!M15</f>
        <v>137.20000000000002</v>
      </c>
    </row>
    <row r="19" spans="1:13" hidden="1">
      <c r="A19" s="119"/>
      <c r="B19" s="84"/>
      <c r="C19" s="84"/>
      <c r="D19" s="84"/>
      <c r="E19" s="84"/>
      <c r="F19" s="84"/>
      <c r="G19" s="84"/>
      <c r="H19" s="84"/>
      <c r="I19" s="84"/>
      <c r="J19" s="84"/>
      <c r="K19" s="84"/>
      <c r="L19" s="84"/>
      <c r="M19" s="84"/>
    </row>
    <row r="20" spans="1:13" hidden="1">
      <c r="A20" s="120" t="s">
        <v>73</v>
      </c>
      <c r="B20" s="84">
        <f>B18+B19</f>
        <v>117.60000000000001</v>
      </c>
      <c r="C20" s="84">
        <f t="shared" ref="C20:M20" si="3">C18+C19</f>
        <v>133</v>
      </c>
      <c r="D20" s="84">
        <f t="shared" si="3"/>
        <v>133</v>
      </c>
      <c r="E20" s="84">
        <f t="shared" si="3"/>
        <v>133</v>
      </c>
      <c r="F20" s="84">
        <f t="shared" si="3"/>
        <v>135.80000000000001</v>
      </c>
      <c r="G20" s="84">
        <f t="shared" si="3"/>
        <v>133</v>
      </c>
      <c r="H20" s="84">
        <f t="shared" si="3"/>
        <v>133</v>
      </c>
      <c r="I20" s="84">
        <f t="shared" si="3"/>
        <v>133</v>
      </c>
      <c r="J20" s="84">
        <f t="shared" si="3"/>
        <v>98</v>
      </c>
      <c r="K20" s="84">
        <f t="shared" si="3"/>
        <v>119</v>
      </c>
      <c r="L20" s="84">
        <f t="shared" si="3"/>
        <v>133</v>
      </c>
      <c r="M20" s="84">
        <f t="shared" si="3"/>
        <v>137.20000000000002</v>
      </c>
    </row>
    <row r="21" spans="1:13" hidden="1">
      <c r="A21" s="120"/>
      <c r="B21" s="84"/>
      <c r="C21" s="84"/>
      <c r="D21" s="84"/>
      <c r="E21" s="84"/>
      <c r="F21" s="84"/>
      <c r="G21" s="84"/>
      <c r="H21" s="84"/>
      <c r="I21" s="84"/>
      <c r="J21" s="84"/>
      <c r="K21" s="84"/>
      <c r="L21" s="84"/>
      <c r="M21" s="84"/>
    </row>
    <row r="22" spans="1:13">
      <c r="A22" s="118" t="s">
        <v>69</v>
      </c>
      <c r="B22" s="84"/>
      <c r="C22" s="84"/>
      <c r="D22" s="84"/>
      <c r="E22" s="84"/>
      <c r="F22" s="84"/>
      <c r="G22" s="84"/>
      <c r="H22" s="84"/>
      <c r="I22" s="84"/>
      <c r="J22" s="84"/>
      <c r="K22" s="84"/>
      <c r="L22" s="84"/>
      <c r="M22" s="84"/>
    </row>
    <row r="23" spans="1:13">
      <c r="A23" s="119" t="s">
        <v>70</v>
      </c>
      <c r="B23" s="84">
        <f>'Income Statement Year 2 '!B18</f>
        <v>225</v>
      </c>
      <c r="C23" s="84">
        <f>'Income Statement Year 2 '!C18</f>
        <v>225</v>
      </c>
      <c r="D23" s="84">
        <f>'Income Statement Year 2 '!D18</f>
        <v>225</v>
      </c>
      <c r="E23" s="84">
        <f>'Income Statement Year 2 '!E18</f>
        <v>225</v>
      </c>
      <c r="F23" s="84">
        <f>'Income Statement Year 2 '!F18</f>
        <v>225</v>
      </c>
      <c r="G23" s="84">
        <f>'Income Statement Year 2 '!G18</f>
        <v>225</v>
      </c>
      <c r="H23" s="84">
        <f>'Income Statement Year 2 '!H18</f>
        <v>225</v>
      </c>
      <c r="I23" s="84">
        <f>'Income Statement Year 2 '!I18</f>
        <v>225</v>
      </c>
      <c r="J23" s="84">
        <f>'Income Statement Year 2 '!J18</f>
        <v>225</v>
      </c>
      <c r="K23" s="84">
        <f>'Income Statement Year 2 '!K18</f>
        <v>225</v>
      </c>
      <c r="L23" s="84">
        <f>'Income Statement Year 2 '!L18</f>
        <v>225</v>
      </c>
      <c r="M23" s="84">
        <f>'Income Statement Year 2 '!M18</f>
        <v>225</v>
      </c>
    </row>
    <row r="24" spans="1:13" hidden="1">
      <c r="A24" s="119" t="s">
        <v>71</v>
      </c>
      <c r="B24" s="84">
        <v>0</v>
      </c>
      <c r="C24" s="84">
        <v>0</v>
      </c>
      <c r="D24" s="84">
        <v>0</v>
      </c>
      <c r="E24" s="84">
        <v>0</v>
      </c>
      <c r="F24" s="84">
        <v>0</v>
      </c>
      <c r="G24" s="84">
        <v>0</v>
      </c>
      <c r="H24" s="84">
        <v>0</v>
      </c>
      <c r="I24" s="84">
        <v>0</v>
      </c>
      <c r="J24" s="84">
        <v>0</v>
      </c>
      <c r="K24" s="84">
        <v>0</v>
      </c>
      <c r="L24" s="84">
        <v>0</v>
      </c>
      <c r="M24" s="84">
        <v>0</v>
      </c>
    </row>
    <row r="25" spans="1:13">
      <c r="A25" s="119" t="s">
        <v>165</v>
      </c>
      <c r="B25" s="84">
        <f>'Income Statement Year 2 '!B21</f>
        <v>47.04</v>
      </c>
      <c r="C25" s="84">
        <f>'Income Statement Year 2 '!C21</f>
        <v>53.2</v>
      </c>
      <c r="D25" s="84">
        <f>'Income Statement Year 2 '!D21</f>
        <v>53.2</v>
      </c>
      <c r="E25" s="84">
        <f>'Income Statement Year 2 '!E21</f>
        <v>53.2</v>
      </c>
      <c r="F25" s="84">
        <f>'Income Statement Year 2 '!F21</f>
        <v>54.320000000000007</v>
      </c>
      <c r="G25" s="84">
        <f>'Income Statement Year 2 '!G21</f>
        <v>53.2</v>
      </c>
      <c r="H25" s="84">
        <f>'Income Statement Year 2 '!H21</f>
        <v>53.2</v>
      </c>
      <c r="I25" s="84">
        <f>'Income Statement Year 2 '!I21</f>
        <v>53.2</v>
      </c>
      <c r="J25" s="84">
        <f>'Income Statement Year 2 '!J21</f>
        <v>39.200000000000003</v>
      </c>
      <c r="K25" s="84">
        <f>'Income Statement Year 2 '!K21</f>
        <v>47.6</v>
      </c>
      <c r="L25" s="84">
        <f>'Income Statement Year 2 '!L21</f>
        <v>53.2</v>
      </c>
      <c r="M25" s="84">
        <f>'Income Statement Year 2 '!M21</f>
        <v>54.879999999999995</v>
      </c>
    </row>
    <row r="26" spans="1:13">
      <c r="A26" s="119" t="s">
        <v>162</v>
      </c>
      <c r="B26" s="84">
        <f>'Cash Flow Year 1 '!B25</f>
        <v>26.94</v>
      </c>
      <c r="C26" s="84">
        <f>'Cash Flow Year 1 '!C25</f>
        <v>26.94</v>
      </c>
      <c r="D26" s="84">
        <f>'Cash Flow Year 1 '!D25</f>
        <v>26.94</v>
      </c>
      <c r="E26" s="84">
        <f>'Cash Flow Year 1 '!E25</f>
        <v>26.94</v>
      </c>
      <c r="F26" s="84">
        <f>'Cash Flow Year 1 '!F25</f>
        <v>26.94</v>
      </c>
      <c r="G26" s="84">
        <f>'Cash Flow Year 1 '!G25</f>
        <v>26.94</v>
      </c>
      <c r="H26" s="84">
        <f>'Cash Flow Year 1 '!H25</f>
        <v>26.94</v>
      </c>
      <c r="I26" s="84">
        <f>'Cash Flow Year 1 '!I25</f>
        <v>26.94</v>
      </c>
      <c r="J26" s="84">
        <f>'Cash Flow Year 1 '!J25</f>
        <v>26.94</v>
      </c>
      <c r="K26" s="84">
        <f>'Cash Flow Year 1 '!K25</f>
        <v>26.94</v>
      </c>
      <c r="L26" s="84">
        <f>'Cash Flow Year 1 '!L25</f>
        <v>26.94</v>
      </c>
      <c r="M26" s="84">
        <f>SUM(B26:L26)</f>
        <v>296.34000000000003</v>
      </c>
    </row>
    <row r="27" spans="1:13" ht="15" customHeight="1">
      <c r="A27" s="119" t="s">
        <v>164</v>
      </c>
      <c r="B27" s="84">
        <f>'Cash Flow Year 1 '!B26</f>
        <v>30.75</v>
      </c>
      <c r="C27" s="84">
        <f>'Cash Flow Year 1 '!C26</f>
        <v>30.75</v>
      </c>
      <c r="D27" s="84">
        <f>'Cash Flow Year 1 '!D26</f>
        <v>30.75</v>
      </c>
      <c r="E27" s="84">
        <f>'Cash Flow Year 1 '!E26</f>
        <v>30.75</v>
      </c>
      <c r="F27" s="84">
        <f>'Cash Flow Year 1 '!F26</f>
        <v>30.75</v>
      </c>
      <c r="G27" s="84">
        <f>'Cash Flow Year 1 '!G26</f>
        <v>30.75</v>
      </c>
      <c r="H27" s="84">
        <f>'Cash Flow Year 1 '!H26</f>
        <v>30.75</v>
      </c>
      <c r="I27" s="84">
        <f>'Cash Flow Year 1 '!I26</f>
        <v>30.75</v>
      </c>
      <c r="J27" s="84">
        <f>'Cash Flow Year 1 '!J26</f>
        <v>30.75</v>
      </c>
      <c r="K27" s="84">
        <f>'Cash Flow Year 1 '!K26</f>
        <v>30.75</v>
      </c>
      <c r="L27" s="84">
        <f>'Cash Flow Year 1 '!L26</f>
        <v>30.75</v>
      </c>
      <c r="M27" s="84">
        <f>SUM(B27:L27)</f>
        <v>338.25</v>
      </c>
    </row>
    <row r="28" spans="1:13" hidden="1">
      <c r="A28" s="119"/>
      <c r="B28" s="84"/>
      <c r="C28" s="84"/>
      <c r="D28" s="84"/>
      <c r="E28" s="84"/>
      <c r="F28" s="84"/>
      <c r="G28" s="84"/>
      <c r="H28" s="84"/>
      <c r="I28" s="84"/>
      <c r="J28" s="84"/>
      <c r="K28" s="84"/>
      <c r="L28" s="84"/>
      <c r="M28" s="84"/>
    </row>
    <row r="29" spans="1:13" ht="31.2">
      <c r="A29" s="120" t="s">
        <v>72</v>
      </c>
      <c r="B29" s="84">
        <f>SUM(B23:B25)</f>
        <v>272.04000000000002</v>
      </c>
      <c r="C29" s="84">
        <f t="shared" ref="C29:M29" si="4">SUM(C23:C25)</f>
        <v>278.2</v>
      </c>
      <c r="D29" s="84">
        <f t="shared" si="4"/>
        <v>278.2</v>
      </c>
      <c r="E29" s="84">
        <f t="shared" si="4"/>
        <v>278.2</v>
      </c>
      <c r="F29" s="84">
        <f t="shared" si="4"/>
        <v>279.32</v>
      </c>
      <c r="G29" s="84">
        <f t="shared" si="4"/>
        <v>278.2</v>
      </c>
      <c r="H29" s="84">
        <f t="shared" si="4"/>
        <v>278.2</v>
      </c>
      <c r="I29" s="84">
        <f t="shared" si="4"/>
        <v>278.2</v>
      </c>
      <c r="J29" s="84">
        <f t="shared" si="4"/>
        <v>264.2</v>
      </c>
      <c r="K29" s="84">
        <f t="shared" si="4"/>
        <v>272.60000000000002</v>
      </c>
      <c r="L29" s="84">
        <f t="shared" si="4"/>
        <v>278.2</v>
      </c>
      <c r="M29" s="84">
        <f>SUM(M23:M25)+M26+M27</f>
        <v>914.47</v>
      </c>
    </row>
    <row r="30" spans="1:13">
      <c r="A30" s="119" t="str">
        <f>'Cash Flow Year 1 '!A28</f>
        <v xml:space="preserve">Loan repayment </v>
      </c>
      <c r="B30" s="84">
        <f>'Cash Flow Year 1 '!B28</f>
        <v>85.42</v>
      </c>
      <c r="C30" s="84">
        <f>'Cash Flow Year 1 '!C28</f>
        <v>85.42</v>
      </c>
      <c r="D30" s="84">
        <f>'Cash Flow Year 1 '!D28</f>
        <v>85.42</v>
      </c>
      <c r="E30" s="84">
        <f>'Cash Flow Year 1 '!E28</f>
        <v>85.42</v>
      </c>
      <c r="F30" s="84">
        <f>'Cash Flow Year 1 '!F28</f>
        <v>85.42</v>
      </c>
      <c r="G30" s="84">
        <f>'Cash Flow Year 1 '!G28</f>
        <v>85.42</v>
      </c>
      <c r="H30" s="84">
        <f>'Cash Flow Year 1 '!H28</f>
        <v>85.42</v>
      </c>
      <c r="I30" s="84">
        <f>'Cash Flow Year 1 '!I28</f>
        <v>85.42</v>
      </c>
      <c r="J30" s="84">
        <f>'Cash Flow Year 1 '!J28</f>
        <v>85.42</v>
      </c>
      <c r="K30" s="84">
        <f>'Cash Flow Year 1 '!K28</f>
        <v>85.42</v>
      </c>
      <c r="L30" s="84">
        <f>'Cash Flow Year 1 '!L28</f>
        <v>85.42</v>
      </c>
      <c r="M30" s="84">
        <f>SUM(B30:L30)</f>
        <v>939.61999999999978</v>
      </c>
    </row>
    <row r="31" spans="1:13" hidden="1">
      <c r="A31" s="119"/>
      <c r="B31" s="84"/>
      <c r="C31" s="84"/>
      <c r="D31" s="84"/>
      <c r="E31" s="84"/>
      <c r="F31" s="84"/>
      <c r="G31" s="84"/>
      <c r="H31" s="84"/>
      <c r="I31" s="84"/>
      <c r="J31" s="84"/>
      <c r="K31" s="84"/>
      <c r="L31" s="84"/>
      <c r="M31" s="84"/>
    </row>
    <row r="32" spans="1:13">
      <c r="A32" s="118" t="s">
        <v>74</v>
      </c>
      <c r="B32" s="84">
        <f>B20+B29</f>
        <v>389.64000000000004</v>
      </c>
      <c r="C32" s="84">
        <f t="shared" ref="C32:M32" si="5">C20+C29</f>
        <v>411.2</v>
      </c>
      <c r="D32" s="84">
        <f t="shared" si="5"/>
        <v>411.2</v>
      </c>
      <c r="E32" s="84">
        <f t="shared" si="5"/>
        <v>411.2</v>
      </c>
      <c r="F32" s="84">
        <f t="shared" si="5"/>
        <v>415.12</v>
      </c>
      <c r="G32" s="84">
        <f t="shared" si="5"/>
        <v>411.2</v>
      </c>
      <c r="H32" s="84">
        <f t="shared" si="5"/>
        <v>411.2</v>
      </c>
      <c r="I32" s="84">
        <f t="shared" si="5"/>
        <v>411.2</v>
      </c>
      <c r="J32" s="84">
        <f t="shared" si="5"/>
        <v>362.2</v>
      </c>
      <c r="K32" s="84">
        <f t="shared" si="5"/>
        <v>391.6</v>
      </c>
      <c r="L32" s="84">
        <f t="shared" si="5"/>
        <v>411.2</v>
      </c>
      <c r="M32" s="84">
        <f>M20+M29+M30</f>
        <v>1991.29</v>
      </c>
    </row>
    <row r="33" spans="1:13" hidden="1">
      <c r="A33" s="119"/>
      <c r="B33" s="84"/>
      <c r="C33" s="84"/>
      <c r="D33" s="84"/>
      <c r="E33" s="84"/>
      <c r="F33" s="84"/>
      <c r="G33" s="84"/>
      <c r="H33" s="84"/>
      <c r="I33" s="84"/>
      <c r="J33" s="84"/>
      <c r="K33" s="84"/>
      <c r="L33" s="84"/>
      <c r="M33" s="84"/>
    </row>
    <row r="34" spans="1:13" hidden="1">
      <c r="A34" s="119" t="s">
        <v>75</v>
      </c>
      <c r="B34" s="84">
        <f>B15</f>
        <v>3877.6300000000006</v>
      </c>
      <c r="C34" s="84">
        <f>C15</f>
        <v>4152.9900000000007</v>
      </c>
      <c r="D34" s="84">
        <f t="shared" ref="D34:M34" si="6">D15</f>
        <v>4406.7900000000009</v>
      </c>
      <c r="E34" s="84">
        <f t="shared" si="6"/>
        <v>4660.5900000000011</v>
      </c>
      <c r="F34" s="84">
        <f t="shared" si="6"/>
        <v>4928.3900000000012</v>
      </c>
      <c r="G34" s="84">
        <f t="shared" si="6"/>
        <v>5178.2700000000013</v>
      </c>
      <c r="H34" s="84">
        <f t="shared" si="6"/>
        <v>5432.0700000000015</v>
      </c>
      <c r="I34" s="84">
        <f t="shared" si="6"/>
        <v>5685.8700000000017</v>
      </c>
      <c r="J34" s="84">
        <f t="shared" si="6"/>
        <v>5764.6700000000019</v>
      </c>
      <c r="K34" s="84">
        <f t="shared" si="6"/>
        <v>5997.4700000000021</v>
      </c>
      <c r="L34" s="84">
        <f t="shared" si="6"/>
        <v>6270.8700000000017</v>
      </c>
      <c r="M34" s="84">
        <f>M15</f>
        <v>6545.6700000000019</v>
      </c>
    </row>
    <row r="35" spans="1:13">
      <c r="A35" s="119" t="s">
        <v>76</v>
      </c>
      <c r="B35" s="84">
        <f>B32</f>
        <v>389.64000000000004</v>
      </c>
      <c r="C35" s="84">
        <f t="shared" ref="C35:M35" si="7">C32</f>
        <v>411.2</v>
      </c>
      <c r="D35" s="84">
        <f t="shared" si="7"/>
        <v>411.2</v>
      </c>
      <c r="E35" s="84">
        <f t="shared" si="7"/>
        <v>411.2</v>
      </c>
      <c r="F35" s="84">
        <f t="shared" si="7"/>
        <v>415.12</v>
      </c>
      <c r="G35" s="84">
        <f t="shared" si="7"/>
        <v>411.2</v>
      </c>
      <c r="H35" s="84">
        <f t="shared" si="7"/>
        <v>411.2</v>
      </c>
      <c r="I35" s="84">
        <f t="shared" si="7"/>
        <v>411.2</v>
      </c>
      <c r="J35" s="84">
        <f t="shared" si="7"/>
        <v>362.2</v>
      </c>
      <c r="K35" s="84">
        <f t="shared" si="7"/>
        <v>391.6</v>
      </c>
      <c r="L35" s="84">
        <f t="shared" si="7"/>
        <v>411.2</v>
      </c>
      <c r="M35" s="84">
        <f>M32</f>
        <v>1991.29</v>
      </c>
    </row>
    <row r="36" spans="1:13" hidden="1">
      <c r="A36" s="119"/>
      <c r="B36" s="84"/>
      <c r="C36" s="84"/>
      <c r="D36" s="84"/>
      <c r="E36" s="84"/>
      <c r="F36" s="84"/>
      <c r="G36" s="84"/>
      <c r="H36" s="84"/>
      <c r="I36" s="84"/>
      <c r="J36" s="84"/>
      <c r="K36" s="84"/>
      <c r="L36" s="84"/>
      <c r="M36" s="84"/>
    </row>
    <row r="37" spans="1:13">
      <c r="A37" s="118" t="s">
        <v>79</v>
      </c>
      <c r="B37" s="84">
        <f>B34-B35</f>
        <v>3487.9900000000007</v>
      </c>
      <c r="C37" s="84">
        <f t="shared" ref="C37:M37" si="8">C34-C35</f>
        <v>3741.7900000000009</v>
      </c>
      <c r="D37" s="84">
        <f t="shared" si="8"/>
        <v>3995.5900000000011</v>
      </c>
      <c r="E37" s="84">
        <f t="shared" si="8"/>
        <v>4249.3900000000012</v>
      </c>
      <c r="F37" s="84">
        <f t="shared" si="8"/>
        <v>4513.2700000000013</v>
      </c>
      <c r="G37" s="84">
        <f t="shared" si="8"/>
        <v>4767.0700000000015</v>
      </c>
      <c r="H37" s="84">
        <f t="shared" si="8"/>
        <v>5020.8700000000017</v>
      </c>
      <c r="I37" s="84">
        <f t="shared" si="8"/>
        <v>5274.6700000000019</v>
      </c>
      <c r="J37" s="84">
        <f t="shared" si="8"/>
        <v>5402.4700000000021</v>
      </c>
      <c r="K37" s="84">
        <f t="shared" si="8"/>
        <v>5605.8700000000017</v>
      </c>
      <c r="L37" s="84">
        <f t="shared" si="8"/>
        <v>5859.6700000000019</v>
      </c>
      <c r="M37" s="84">
        <f>M34-M35</f>
        <v>4554.3800000000019</v>
      </c>
    </row>
    <row r="38" spans="1:13" hidden="1">
      <c r="A38" s="119" t="s">
        <v>80</v>
      </c>
      <c r="B38" s="84">
        <v>0</v>
      </c>
      <c r="C38" s="84">
        <v>0</v>
      </c>
      <c r="D38" s="84">
        <v>0</v>
      </c>
      <c r="E38" s="84">
        <v>0</v>
      </c>
      <c r="F38" s="84">
        <v>0</v>
      </c>
      <c r="G38" s="84">
        <v>0</v>
      </c>
      <c r="H38" s="84">
        <v>0</v>
      </c>
      <c r="I38" s="84">
        <v>0</v>
      </c>
      <c r="J38" s="84">
        <v>0</v>
      </c>
      <c r="K38" s="84">
        <v>0</v>
      </c>
      <c r="L38" s="84">
        <v>0</v>
      </c>
      <c r="M38" s="84">
        <v>0</v>
      </c>
    </row>
    <row r="39" spans="1:13">
      <c r="A39" s="119" t="s">
        <v>81</v>
      </c>
      <c r="B39" s="84">
        <f>B37-B38</f>
        <v>3487.9900000000007</v>
      </c>
      <c r="C39" s="84">
        <f t="shared" ref="C39:M39" si="9">C37-C38</f>
        <v>3741.7900000000009</v>
      </c>
      <c r="D39" s="84">
        <f t="shared" si="9"/>
        <v>3995.5900000000011</v>
      </c>
      <c r="E39" s="84">
        <f t="shared" si="9"/>
        <v>4249.3900000000012</v>
      </c>
      <c r="F39" s="84">
        <f t="shared" si="9"/>
        <v>4513.2700000000013</v>
      </c>
      <c r="G39" s="84">
        <f t="shared" si="9"/>
        <v>4767.0700000000015</v>
      </c>
      <c r="H39" s="84">
        <f t="shared" si="9"/>
        <v>5020.8700000000017</v>
      </c>
      <c r="I39" s="84">
        <f t="shared" si="9"/>
        <v>5274.6700000000019</v>
      </c>
      <c r="J39" s="84">
        <f t="shared" si="9"/>
        <v>5402.4700000000021</v>
      </c>
      <c r="K39" s="84">
        <f t="shared" si="9"/>
        <v>5605.8700000000017</v>
      </c>
      <c r="L39" s="84">
        <f t="shared" si="9"/>
        <v>5859.6700000000019</v>
      </c>
      <c r="M39" s="133">
        <f t="shared" si="9"/>
        <v>4554.3800000000019</v>
      </c>
    </row>
    <row r="40" spans="1:13">
      <c r="A40" s="80"/>
      <c r="B40" s="80"/>
      <c r="C40" s="80"/>
      <c r="D40" s="80"/>
      <c r="E40" s="80"/>
      <c r="F40" s="80"/>
      <c r="G40" s="80"/>
      <c r="H40" s="80"/>
      <c r="I40" s="80"/>
      <c r="J40" s="80"/>
      <c r="K40" s="80"/>
      <c r="L40" s="80"/>
      <c r="M40" s="80"/>
    </row>
  </sheetData>
  <mergeCells count="4">
    <mergeCell ref="A1:M1"/>
    <mergeCell ref="A2:M2"/>
    <mergeCell ref="A3:M3"/>
    <mergeCell ref="A4:M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F4334-C914-D542-B9AA-1EA6ED310276}">
  <dimension ref="A1:M41"/>
  <sheetViews>
    <sheetView workbookViewId="0">
      <selection activeCell="P16" sqref="P16"/>
    </sheetView>
  </sheetViews>
  <sheetFormatPr baseColWidth="10" defaultRowHeight="15.6"/>
  <cols>
    <col min="1" max="1" width="24.296875" customWidth="1"/>
  </cols>
  <sheetData>
    <row r="1" spans="1:13">
      <c r="A1" s="60" t="s">
        <v>168</v>
      </c>
      <c r="B1" s="60"/>
      <c r="C1" s="60"/>
      <c r="D1" s="60"/>
      <c r="E1" s="60"/>
      <c r="F1" s="60"/>
      <c r="G1" s="60"/>
      <c r="H1" s="60"/>
      <c r="I1" s="60"/>
      <c r="J1" s="60"/>
      <c r="K1" s="60"/>
      <c r="L1" s="60"/>
      <c r="M1" s="60"/>
    </row>
    <row r="2" spans="1:13">
      <c r="A2" s="60" t="s">
        <v>169</v>
      </c>
      <c r="B2" s="60"/>
      <c r="C2" s="60"/>
      <c r="D2" s="60"/>
      <c r="E2" s="60"/>
      <c r="F2" s="60"/>
      <c r="G2" s="60"/>
      <c r="H2" s="60"/>
      <c r="I2" s="60"/>
      <c r="J2" s="60"/>
      <c r="K2" s="60"/>
      <c r="L2" s="60"/>
      <c r="M2" s="60"/>
    </row>
    <row r="3" spans="1:13">
      <c r="A3" s="60" t="s">
        <v>173</v>
      </c>
      <c r="B3" s="60"/>
      <c r="C3" s="60"/>
      <c r="D3" s="60"/>
      <c r="E3" s="60"/>
      <c r="F3" s="60"/>
      <c r="G3" s="60"/>
      <c r="H3" s="60"/>
      <c r="I3" s="60"/>
      <c r="J3" s="60"/>
      <c r="K3" s="60"/>
      <c r="L3" s="60"/>
      <c r="M3" s="60"/>
    </row>
    <row r="4" spans="1:13">
      <c r="A4" s="60" t="s">
        <v>171</v>
      </c>
      <c r="B4" s="60"/>
      <c r="C4" s="60"/>
      <c r="D4" s="60"/>
      <c r="E4" s="60"/>
      <c r="F4" s="60"/>
      <c r="G4" s="60"/>
      <c r="H4" s="60"/>
      <c r="I4" s="60"/>
      <c r="J4" s="60"/>
      <c r="K4" s="60"/>
      <c r="L4" s="60"/>
      <c r="M4" s="60"/>
    </row>
    <row r="5" spans="1:13" hidden="1"/>
    <row r="6" spans="1:13" hidden="1"/>
    <row r="7" spans="1:13">
      <c r="A7" s="122"/>
      <c r="B7" s="123" t="s">
        <v>6</v>
      </c>
      <c r="C7" s="123" t="s">
        <v>7</v>
      </c>
      <c r="D7" s="123" t="s">
        <v>8</v>
      </c>
      <c r="E7" s="123" t="s">
        <v>9</v>
      </c>
      <c r="F7" s="123" t="s">
        <v>10</v>
      </c>
      <c r="G7" s="123" t="s">
        <v>11</v>
      </c>
      <c r="H7" s="123" t="s">
        <v>12</v>
      </c>
      <c r="I7" s="123" t="s">
        <v>13</v>
      </c>
      <c r="J7" s="123" t="s">
        <v>14</v>
      </c>
      <c r="K7" s="123" t="s">
        <v>15</v>
      </c>
      <c r="L7" s="123" t="s">
        <v>16</v>
      </c>
      <c r="M7" s="123" t="s">
        <v>17</v>
      </c>
    </row>
    <row r="8" spans="1:13" ht="31.2">
      <c r="A8" s="118" t="s">
        <v>63</v>
      </c>
      <c r="B8" s="96">
        <f>'Cash Flow Year 2'!M39</f>
        <v>4554.3800000000019</v>
      </c>
      <c r="C8" s="96">
        <f>B40</f>
        <v>4993.3800000000019</v>
      </c>
      <c r="D8" s="96">
        <f t="shared" ref="D8:M8" si="0">C40</f>
        <v>5453.5800000000017</v>
      </c>
      <c r="E8" s="96">
        <f t="shared" si="0"/>
        <v>5897.3800000000019</v>
      </c>
      <c r="F8" s="96">
        <f t="shared" si="0"/>
        <v>6187.9400000000023</v>
      </c>
      <c r="G8" s="96">
        <f t="shared" si="0"/>
        <v>6966.7800000000025</v>
      </c>
      <c r="H8" s="96">
        <f t="shared" si="0"/>
        <v>7458.2800000000025</v>
      </c>
      <c r="I8" s="96">
        <f t="shared" si="0"/>
        <v>7766.3000000000029</v>
      </c>
      <c r="J8" s="96">
        <f t="shared" si="0"/>
        <v>8115.9600000000028</v>
      </c>
      <c r="K8" s="96">
        <f t="shared" si="0"/>
        <v>8491.9600000000028</v>
      </c>
      <c r="L8" s="96">
        <f t="shared" si="0"/>
        <v>8902.5200000000023</v>
      </c>
      <c r="M8" s="96">
        <f t="shared" si="0"/>
        <v>9368.8200000000015</v>
      </c>
    </row>
    <row r="9" spans="1:13" hidden="1">
      <c r="A9" s="119"/>
      <c r="B9" s="96"/>
      <c r="C9" s="96"/>
      <c r="D9" s="96"/>
      <c r="E9" s="96"/>
      <c r="F9" s="96"/>
      <c r="G9" s="96"/>
      <c r="H9" s="96"/>
      <c r="I9" s="96"/>
      <c r="J9" s="96"/>
      <c r="K9" s="96"/>
      <c r="L9" s="96"/>
      <c r="M9" s="96"/>
    </row>
    <row r="10" spans="1:13">
      <c r="A10" s="118" t="s">
        <v>66</v>
      </c>
      <c r="B10" s="96"/>
      <c r="C10" s="96"/>
      <c r="D10" s="96"/>
      <c r="E10" s="96"/>
      <c r="F10" s="96"/>
      <c r="G10" s="96"/>
      <c r="H10" s="96"/>
      <c r="I10" s="96"/>
      <c r="J10" s="96"/>
      <c r="K10" s="96"/>
      <c r="L10" s="96"/>
      <c r="M10" s="96"/>
    </row>
    <row r="11" spans="1:13">
      <c r="A11" s="119" t="s">
        <v>65</v>
      </c>
      <c r="B11" s="96">
        <f>'Income Statement Year 3'!B10+'Income Statement Year 3'!B11</f>
        <v>459</v>
      </c>
      <c r="C11" s="96">
        <f>'Income Statement Year 3'!C10+'Income Statement Year 3'!C11</f>
        <v>481.80000000000007</v>
      </c>
      <c r="D11" s="96">
        <f>'Income Statement Year 3'!D10+'Income Statement Year 3'!D11</f>
        <v>477</v>
      </c>
      <c r="E11" s="96">
        <f>'Income Statement Year 3'!E10+'Income Statement Year 3'!E11</f>
        <v>378</v>
      </c>
      <c r="F11" s="96">
        <f>'Income Statement Year 3'!F10+'Income Statement Year 3'!F11</f>
        <v>675</v>
      </c>
      <c r="G11" s="96">
        <f>'Income Statement Year 3'!G10+'Income Statement Year 3'!G11</f>
        <v>490.5</v>
      </c>
      <c r="H11" s="96">
        <f>'Income Statement Year 3'!H10+'Income Statement Year 3'!H11</f>
        <v>391.5</v>
      </c>
      <c r="I11" s="96">
        <f>'Income Statement Year 3'!I10+'Income Statement Year 3'!I11</f>
        <v>418.5</v>
      </c>
      <c r="J11" s="96">
        <f>'Income Statement Year 3'!J10+'Income Statement Year 3'!J11</f>
        <v>396</v>
      </c>
      <c r="K11" s="96">
        <f>'Income Statement Year 3'!K10+'Income Statement Year 3'!K11</f>
        <v>450</v>
      </c>
      <c r="L11" s="96">
        <f>'Income Statement Year 3'!L10+'Income Statement Year 3'!L11</f>
        <v>490.5</v>
      </c>
      <c r="M11" s="96">
        <f>'Income Statement Year 3'!M10+'Income Statement Year 3'!M11</f>
        <v>517.5</v>
      </c>
    </row>
    <row r="12" spans="1:13">
      <c r="A12" s="119" t="s">
        <v>64</v>
      </c>
      <c r="B12" s="96">
        <f>'Income Statement Year 3'!B10</f>
        <v>306</v>
      </c>
      <c r="C12" s="96">
        <f>'Income Statement Year 3'!C10</f>
        <v>321.20000000000005</v>
      </c>
      <c r="D12" s="96">
        <f>'Income Statement Year 3'!D10</f>
        <v>318</v>
      </c>
      <c r="E12" s="96">
        <f>'Income Statement Year 3'!E10</f>
        <v>252</v>
      </c>
      <c r="F12" s="96">
        <f>'Income Statement Year 3'!F10</f>
        <v>450</v>
      </c>
      <c r="G12" s="96">
        <f>'Income Statement Year 3'!G10</f>
        <v>327</v>
      </c>
      <c r="H12" s="96">
        <f>'Income Statement Year 3'!H10</f>
        <v>261</v>
      </c>
      <c r="I12" s="96">
        <f>'Income Statement Year 3'!I10</f>
        <v>279</v>
      </c>
      <c r="J12" s="96">
        <f>'Income Statement Year 3'!J10</f>
        <v>264</v>
      </c>
      <c r="K12" s="96">
        <f>'Income Statement Year 3'!K10</f>
        <v>300</v>
      </c>
      <c r="L12" s="96">
        <f>'Income Statement Year 3'!L10</f>
        <v>327</v>
      </c>
      <c r="M12" s="96">
        <f>'Income Statement Year 3'!M10</f>
        <v>345</v>
      </c>
    </row>
    <row r="13" spans="1:13" hidden="1">
      <c r="A13" s="119"/>
      <c r="B13" s="96"/>
      <c r="C13" s="96"/>
      <c r="D13" s="96"/>
      <c r="E13" s="96"/>
      <c r="F13" s="96"/>
      <c r="G13" s="96"/>
      <c r="H13" s="96"/>
      <c r="I13" s="96"/>
      <c r="J13" s="96"/>
      <c r="K13" s="96"/>
      <c r="L13" s="96"/>
      <c r="M13" s="96"/>
    </row>
    <row r="14" spans="1:13">
      <c r="A14" s="118" t="s">
        <v>67</v>
      </c>
      <c r="B14" s="96">
        <f>B11+B12</f>
        <v>765</v>
      </c>
      <c r="C14" s="96">
        <f t="shared" ref="C14:M14" si="1">C11+C12</f>
        <v>803.00000000000011</v>
      </c>
      <c r="D14" s="96">
        <f t="shared" si="1"/>
        <v>795</v>
      </c>
      <c r="E14" s="96">
        <f t="shared" si="1"/>
        <v>630</v>
      </c>
      <c r="F14" s="96">
        <f t="shared" si="1"/>
        <v>1125</v>
      </c>
      <c r="G14" s="96">
        <f t="shared" si="1"/>
        <v>817.5</v>
      </c>
      <c r="H14" s="96">
        <f t="shared" si="1"/>
        <v>652.5</v>
      </c>
      <c r="I14" s="96">
        <f t="shared" si="1"/>
        <v>697.5</v>
      </c>
      <c r="J14" s="96">
        <f t="shared" si="1"/>
        <v>660</v>
      </c>
      <c r="K14" s="96">
        <f t="shared" si="1"/>
        <v>750</v>
      </c>
      <c r="L14" s="96">
        <f t="shared" si="1"/>
        <v>817.5</v>
      </c>
      <c r="M14" s="96">
        <f t="shared" si="1"/>
        <v>862.5</v>
      </c>
    </row>
    <row r="15" spans="1:13" hidden="1">
      <c r="A15" s="118"/>
      <c r="B15" s="96"/>
      <c r="C15" s="96"/>
      <c r="D15" s="96"/>
      <c r="E15" s="96"/>
      <c r="F15" s="96"/>
      <c r="G15" s="96"/>
      <c r="H15" s="96"/>
      <c r="I15" s="96"/>
      <c r="J15" s="96"/>
      <c r="K15" s="96"/>
      <c r="L15" s="96"/>
      <c r="M15" s="96"/>
    </row>
    <row r="16" spans="1:13" ht="31.2">
      <c r="A16" s="118" t="s">
        <v>77</v>
      </c>
      <c r="B16" s="96">
        <f>B8+B14</f>
        <v>5319.3800000000019</v>
      </c>
      <c r="C16" s="96">
        <f t="shared" ref="C16:M16" si="2">C8+C14</f>
        <v>5796.3800000000019</v>
      </c>
      <c r="D16" s="96">
        <f t="shared" si="2"/>
        <v>6248.5800000000017</v>
      </c>
      <c r="E16" s="96">
        <f t="shared" si="2"/>
        <v>6527.3800000000019</v>
      </c>
      <c r="F16" s="96">
        <f t="shared" si="2"/>
        <v>7312.9400000000023</v>
      </c>
      <c r="G16" s="96">
        <f t="shared" si="2"/>
        <v>7784.2800000000025</v>
      </c>
      <c r="H16" s="96">
        <f t="shared" si="2"/>
        <v>8110.7800000000025</v>
      </c>
      <c r="I16" s="96">
        <f t="shared" si="2"/>
        <v>8463.8000000000029</v>
      </c>
      <c r="J16" s="96">
        <f t="shared" si="2"/>
        <v>8775.9600000000028</v>
      </c>
      <c r="K16" s="96">
        <f t="shared" si="2"/>
        <v>9241.9600000000028</v>
      </c>
      <c r="L16" s="96">
        <f t="shared" si="2"/>
        <v>9720.0200000000023</v>
      </c>
      <c r="M16" s="96">
        <f t="shared" si="2"/>
        <v>10231.320000000002</v>
      </c>
    </row>
    <row r="17" spans="1:13" hidden="1">
      <c r="A17" s="119"/>
      <c r="B17" s="96"/>
      <c r="C17" s="96"/>
      <c r="D17" s="96"/>
      <c r="E17" s="96"/>
      <c r="F17" s="96"/>
      <c r="G17" s="96"/>
      <c r="H17" s="96"/>
      <c r="I17" s="96"/>
      <c r="J17" s="96"/>
      <c r="K17" s="96"/>
      <c r="L17" s="96"/>
      <c r="M17" s="96"/>
    </row>
    <row r="18" spans="1:13">
      <c r="A18" s="118" t="s">
        <v>68</v>
      </c>
      <c r="B18" s="96"/>
      <c r="C18" s="96"/>
      <c r="D18" s="96"/>
      <c r="E18" s="96"/>
      <c r="F18" s="96"/>
      <c r="G18" s="96"/>
      <c r="H18" s="96"/>
      <c r="I18" s="96"/>
      <c r="J18" s="96"/>
      <c r="K18" s="96"/>
      <c r="L18" s="96"/>
      <c r="M18" s="96"/>
    </row>
    <row r="19" spans="1:13">
      <c r="A19" s="119" t="s">
        <v>48</v>
      </c>
      <c r="B19" s="96">
        <f>'Income Statement Year 1 '!B16</f>
        <v>90</v>
      </c>
      <c r="C19" s="96">
        <f>'Income Statement Year 1 '!C16</f>
        <v>102</v>
      </c>
      <c r="D19" s="96">
        <f>'Income Statement Year 1 '!D16</f>
        <v>108</v>
      </c>
      <c r="E19" s="96">
        <f>'Income Statement Year 1 '!E16</f>
        <v>99.600000000000009</v>
      </c>
      <c r="F19" s="96">
        <f>'Income Statement Year 1 '!F16</f>
        <v>104.4</v>
      </c>
      <c r="G19" s="96">
        <f>'Income Statement Year 1 '!G16</f>
        <v>90</v>
      </c>
      <c r="H19" s="96">
        <f>'Income Statement Year 1 '!H16</f>
        <v>103.2</v>
      </c>
      <c r="I19" s="96">
        <f>'Income Statement Year 1 '!I16</f>
        <v>105.60000000000001</v>
      </c>
      <c r="J19" s="96">
        <f>'Income Statement Year 1 '!J16</f>
        <v>60</v>
      </c>
      <c r="K19" s="96">
        <f>'Income Statement Year 1 '!K16</f>
        <v>99.600000000000009</v>
      </c>
      <c r="L19" s="96">
        <f>'Income Statement Year 1 '!L16</f>
        <v>108</v>
      </c>
      <c r="M19" s="96">
        <f>'Income Statement Year 1 '!M16</f>
        <v>114</v>
      </c>
    </row>
    <row r="20" spans="1:13" hidden="1">
      <c r="A20" s="119"/>
      <c r="B20" s="96"/>
      <c r="C20" s="96"/>
      <c r="D20" s="96"/>
      <c r="E20" s="96"/>
      <c r="F20" s="96"/>
      <c r="G20" s="96"/>
      <c r="H20" s="96"/>
      <c r="I20" s="96"/>
      <c r="J20" s="96"/>
      <c r="K20" s="96"/>
      <c r="L20" s="96"/>
      <c r="M20" s="96"/>
    </row>
    <row r="21" spans="1:13">
      <c r="A21" s="120" t="s">
        <v>73</v>
      </c>
      <c r="B21" s="96">
        <f>B19+B20</f>
        <v>90</v>
      </c>
      <c r="C21" s="96">
        <f t="shared" ref="C21:M21" si="3">C19+C20</f>
        <v>102</v>
      </c>
      <c r="D21" s="96">
        <f t="shared" si="3"/>
        <v>108</v>
      </c>
      <c r="E21" s="96">
        <f t="shared" si="3"/>
        <v>99.600000000000009</v>
      </c>
      <c r="F21" s="96">
        <f t="shared" si="3"/>
        <v>104.4</v>
      </c>
      <c r="G21" s="96">
        <f t="shared" si="3"/>
        <v>90</v>
      </c>
      <c r="H21" s="96">
        <f t="shared" si="3"/>
        <v>103.2</v>
      </c>
      <c r="I21" s="96">
        <f t="shared" si="3"/>
        <v>105.60000000000001</v>
      </c>
      <c r="J21" s="96">
        <f t="shared" si="3"/>
        <v>60</v>
      </c>
      <c r="K21" s="96">
        <f t="shared" si="3"/>
        <v>99.600000000000009</v>
      </c>
      <c r="L21" s="96">
        <f t="shared" si="3"/>
        <v>108</v>
      </c>
      <c r="M21" s="96">
        <f t="shared" si="3"/>
        <v>114</v>
      </c>
    </row>
    <row r="22" spans="1:13" hidden="1">
      <c r="A22" s="120"/>
      <c r="B22" s="96"/>
      <c r="C22" s="96"/>
      <c r="D22" s="96"/>
      <c r="E22" s="96"/>
      <c r="F22" s="96"/>
      <c r="G22" s="96"/>
      <c r="H22" s="96"/>
      <c r="I22" s="96"/>
      <c r="J22" s="96"/>
      <c r="K22" s="96"/>
      <c r="L22" s="96"/>
      <c r="M22" s="96"/>
    </row>
    <row r="23" spans="1:13">
      <c r="A23" s="118" t="s">
        <v>69</v>
      </c>
      <c r="B23" s="96"/>
      <c r="C23" s="96"/>
      <c r="D23" s="96"/>
      <c r="E23" s="96"/>
      <c r="F23" s="96"/>
      <c r="G23" s="96"/>
      <c r="H23" s="96"/>
      <c r="I23" s="96"/>
      <c r="J23" s="96"/>
      <c r="K23" s="96"/>
      <c r="L23" s="96"/>
      <c r="M23" s="96"/>
    </row>
    <row r="24" spans="1:13">
      <c r="A24" s="119" t="s">
        <v>70</v>
      </c>
      <c r="B24" s="96">
        <f>'Income Statement Year 1 '!B19</f>
        <v>200</v>
      </c>
      <c r="C24" s="96">
        <f>'Income Statement Year 1 '!C19</f>
        <v>200</v>
      </c>
      <c r="D24" s="96">
        <f>'Income Statement Year 1 '!D19</f>
        <v>200</v>
      </c>
      <c r="E24" s="96">
        <f>'Income Statement Year 1 '!E19</f>
        <v>200</v>
      </c>
      <c r="F24" s="96">
        <f>'Income Statement Year 1 '!F19</f>
        <v>200</v>
      </c>
      <c r="G24" s="96">
        <f>'Income Statement Year 1 '!G19</f>
        <v>200</v>
      </c>
      <c r="H24" s="96">
        <f>'Income Statement Year 1 '!H19</f>
        <v>200</v>
      </c>
      <c r="I24" s="96">
        <f>'Income Statement Year 1 '!I19</f>
        <v>200</v>
      </c>
      <c r="J24" s="96">
        <f>'Income Statement Year 1 '!J19</f>
        <v>200</v>
      </c>
      <c r="K24" s="96">
        <f>'Income Statement Year 1 '!K19</f>
        <v>200</v>
      </c>
      <c r="L24" s="96">
        <f>'Income Statement Year 1 '!L19</f>
        <v>200</v>
      </c>
      <c r="M24" s="96">
        <f>'Income Statement Year 1 '!M19</f>
        <v>200</v>
      </c>
    </row>
    <row r="25" spans="1:13">
      <c r="A25" s="119" t="s">
        <v>71</v>
      </c>
      <c r="B25" s="96">
        <v>0</v>
      </c>
      <c r="C25" s="96">
        <v>0</v>
      </c>
      <c r="D25" s="96">
        <v>0</v>
      </c>
      <c r="E25" s="96">
        <v>0</v>
      </c>
      <c r="F25" s="96">
        <v>0</v>
      </c>
      <c r="G25" s="96">
        <v>0</v>
      </c>
      <c r="H25" s="96">
        <v>0</v>
      </c>
      <c r="I25" s="96">
        <v>0</v>
      </c>
      <c r="J25" s="96">
        <v>0</v>
      </c>
      <c r="K25" s="96">
        <v>0</v>
      </c>
      <c r="L25" s="96">
        <v>0</v>
      </c>
      <c r="M25" s="96">
        <v>0</v>
      </c>
    </row>
    <row r="26" spans="1:13">
      <c r="A26" s="119" t="s">
        <v>165</v>
      </c>
      <c r="B26" s="96">
        <f>'Income Statement Year 1 '!B22</f>
        <v>36</v>
      </c>
      <c r="C26" s="96">
        <f>'Income Statement Year 1 '!C22</f>
        <v>40.800000000000004</v>
      </c>
      <c r="D26" s="96">
        <f>'Income Statement Year 1 '!D22</f>
        <v>43.2</v>
      </c>
      <c r="E26" s="96">
        <f>'Income Statement Year 1 '!E22</f>
        <v>39.840000000000003</v>
      </c>
      <c r="F26" s="96">
        <f>'Income Statement Year 1 '!F22</f>
        <v>41.760000000000005</v>
      </c>
      <c r="G26" s="96">
        <f>'Income Statement Year 1 '!G22</f>
        <v>36</v>
      </c>
      <c r="H26" s="96">
        <f>'Income Statement Year 1 '!H22</f>
        <v>41.28</v>
      </c>
      <c r="I26" s="96">
        <f>'Income Statement Year 1 '!I22</f>
        <v>42.24</v>
      </c>
      <c r="J26" s="96">
        <f>'Income Statement Year 1 '!J22</f>
        <v>24</v>
      </c>
      <c r="K26" s="96">
        <f>'Income Statement Year 1 '!K22</f>
        <v>39.840000000000003</v>
      </c>
      <c r="L26" s="96">
        <f>'Income Statement Year 1 '!L22</f>
        <v>43.2</v>
      </c>
      <c r="M26" s="96">
        <f>'Income Statement Year 1 '!M22</f>
        <v>45.6</v>
      </c>
    </row>
    <row r="27" spans="1:13">
      <c r="A27" s="119" t="s">
        <v>162</v>
      </c>
      <c r="B27" s="96">
        <f>'Cash Flow Year 1 '!B25</f>
        <v>26.94</v>
      </c>
      <c r="C27" s="96">
        <f>'Cash Flow Year 1 '!C25</f>
        <v>26.94</v>
      </c>
      <c r="D27" s="96">
        <f>'Cash Flow Year 1 '!D25</f>
        <v>26.94</v>
      </c>
      <c r="E27" s="96">
        <f>'Cash Flow Year 1 '!E25</f>
        <v>26.94</v>
      </c>
      <c r="F27" s="96">
        <f>'Cash Flow Year 1 '!F25</f>
        <v>26.94</v>
      </c>
      <c r="G27" s="96">
        <f>'Cash Flow Year 1 '!G25</f>
        <v>26.94</v>
      </c>
      <c r="H27" s="96">
        <f>'Cash Flow Year 1 '!H25</f>
        <v>26.94</v>
      </c>
      <c r="I27" s="96">
        <f>'Cash Flow Year 1 '!I25</f>
        <v>26.94</v>
      </c>
      <c r="J27" s="96">
        <f>'Cash Flow Year 1 '!J25</f>
        <v>26.94</v>
      </c>
      <c r="K27" s="96">
        <f>'Cash Flow Year 1 '!K25</f>
        <v>26.94</v>
      </c>
      <c r="L27" s="96">
        <f>'Cash Flow Year 1 '!L25</f>
        <v>26.94</v>
      </c>
      <c r="M27" s="96">
        <f>SUM(B27:L27)</f>
        <v>296.34000000000003</v>
      </c>
    </row>
    <row r="28" spans="1:13">
      <c r="A28" s="119" t="s">
        <v>164</v>
      </c>
      <c r="B28" s="96">
        <f>'Cash Flow Year 1 '!B26</f>
        <v>30.75</v>
      </c>
      <c r="C28" s="96">
        <f>'Cash Flow Year 1 '!C26</f>
        <v>30.75</v>
      </c>
      <c r="D28" s="96">
        <f>'Cash Flow Year 1 '!D26</f>
        <v>30.75</v>
      </c>
      <c r="E28" s="96">
        <f>'Cash Flow Year 1 '!E26</f>
        <v>30.75</v>
      </c>
      <c r="F28" s="96">
        <f>'Cash Flow Year 1 '!F26</f>
        <v>30.75</v>
      </c>
      <c r="G28" s="96">
        <f>'Cash Flow Year 1 '!G26</f>
        <v>30.75</v>
      </c>
      <c r="H28" s="96">
        <f>'Cash Flow Year 1 '!H26</f>
        <v>30.75</v>
      </c>
      <c r="I28" s="96">
        <f>'Cash Flow Year 1 '!I26</f>
        <v>30.75</v>
      </c>
      <c r="J28" s="96">
        <f>'Cash Flow Year 1 '!J26</f>
        <v>30.75</v>
      </c>
      <c r="K28" s="96">
        <f>'Cash Flow Year 1 '!K26</f>
        <v>30.75</v>
      </c>
      <c r="L28" s="96">
        <f>'Cash Flow Year 1 '!L26</f>
        <v>30.75</v>
      </c>
      <c r="M28" s="96">
        <f>SUM(B28:L28)</f>
        <v>338.25</v>
      </c>
    </row>
    <row r="29" spans="1:13" hidden="1">
      <c r="A29" s="119"/>
      <c r="B29" s="96"/>
      <c r="C29" s="96"/>
      <c r="D29" s="96"/>
      <c r="E29" s="96"/>
      <c r="F29" s="96"/>
      <c r="G29" s="96"/>
      <c r="H29" s="96"/>
      <c r="I29" s="96"/>
      <c r="J29" s="96"/>
      <c r="K29" s="96"/>
      <c r="L29" s="96"/>
      <c r="M29" s="96"/>
    </row>
    <row r="30" spans="1:13" ht="31.2">
      <c r="A30" s="120" t="s">
        <v>72</v>
      </c>
      <c r="B30" s="96">
        <f>SUM(B24:B26)</f>
        <v>236</v>
      </c>
      <c r="C30" s="96">
        <f t="shared" ref="C30:M30" si="4">SUM(C24:C26)</f>
        <v>240.8</v>
      </c>
      <c r="D30" s="96">
        <f t="shared" si="4"/>
        <v>243.2</v>
      </c>
      <c r="E30" s="96">
        <f t="shared" si="4"/>
        <v>239.84</v>
      </c>
      <c r="F30" s="96">
        <f t="shared" si="4"/>
        <v>241.76</v>
      </c>
      <c r="G30" s="96">
        <f t="shared" si="4"/>
        <v>236</v>
      </c>
      <c r="H30" s="96">
        <f t="shared" si="4"/>
        <v>241.28</v>
      </c>
      <c r="I30" s="96">
        <f t="shared" si="4"/>
        <v>242.24</v>
      </c>
      <c r="J30" s="96">
        <f t="shared" si="4"/>
        <v>224</v>
      </c>
      <c r="K30" s="96">
        <f t="shared" si="4"/>
        <v>239.84</v>
      </c>
      <c r="L30" s="96">
        <f t="shared" si="4"/>
        <v>243.2</v>
      </c>
      <c r="M30" s="96">
        <f>SUM(M24:M26)+M27+M28</f>
        <v>880.19</v>
      </c>
    </row>
    <row r="31" spans="1:13">
      <c r="A31" s="119" t="str">
        <f>'Cash Flow Year 1 '!A28</f>
        <v xml:space="preserve">Loan repayment </v>
      </c>
      <c r="B31" s="96">
        <f>'Cash Flow Year 1 '!B28</f>
        <v>85.42</v>
      </c>
      <c r="C31" s="96">
        <f>'Cash Flow Year 1 '!C28</f>
        <v>85.42</v>
      </c>
      <c r="D31" s="96">
        <f>'Cash Flow Year 1 '!D28</f>
        <v>85.42</v>
      </c>
      <c r="E31" s="96">
        <f>'Cash Flow Year 1 '!E28</f>
        <v>85.42</v>
      </c>
      <c r="F31" s="96">
        <f>'Cash Flow Year 1 '!F28</f>
        <v>85.42</v>
      </c>
      <c r="G31" s="96">
        <f>'Cash Flow Year 1 '!G28</f>
        <v>85.42</v>
      </c>
      <c r="H31" s="96">
        <f>'Cash Flow Year 1 '!H28</f>
        <v>85.42</v>
      </c>
      <c r="I31" s="96">
        <f>'Cash Flow Year 1 '!I28</f>
        <v>85.42</v>
      </c>
      <c r="J31" s="96">
        <f>'Cash Flow Year 1 '!J28</f>
        <v>85.42</v>
      </c>
      <c r="K31" s="96">
        <f>'Cash Flow Year 1 '!K28</f>
        <v>85.42</v>
      </c>
      <c r="L31" s="96">
        <f>'Cash Flow Year 1 '!L28</f>
        <v>85.42</v>
      </c>
      <c r="M31" s="96">
        <f>SUM(B31:L31)</f>
        <v>939.61999999999978</v>
      </c>
    </row>
    <row r="32" spans="1:13" hidden="1">
      <c r="A32" s="119"/>
      <c r="B32" s="96"/>
      <c r="C32" s="96"/>
      <c r="D32" s="96"/>
      <c r="E32" s="96"/>
      <c r="F32" s="96"/>
      <c r="G32" s="96"/>
      <c r="H32" s="96"/>
      <c r="I32" s="96"/>
      <c r="J32" s="96"/>
      <c r="K32" s="96"/>
      <c r="L32" s="96"/>
      <c r="M32" s="96"/>
    </row>
    <row r="33" spans="1:13">
      <c r="A33" s="118" t="s">
        <v>74</v>
      </c>
      <c r="B33" s="96">
        <f>B21+B30</f>
        <v>326</v>
      </c>
      <c r="C33" s="96">
        <f t="shared" ref="C33:M33" si="5">C21+C30</f>
        <v>342.8</v>
      </c>
      <c r="D33" s="96">
        <f t="shared" si="5"/>
        <v>351.2</v>
      </c>
      <c r="E33" s="96">
        <f t="shared" si="5"/>
        <v>339.44</v>
      </c>
      <c r="F33" s="96">
        <f t="shared" si="5"/>
        <v>346.15999999999997</v>
      </c>
      <c r="G33" s="96">
        <f t="shared" si="5"/>
        <v>326</v>
      </c>
      <c r="H33" s="96">
        <f t="shared" si="5"/>
        <v>344.48</v>
      </c>
      <c r="I33" s="96">
        <f t="shared" si="5"/>
        <v>347.84000000000003</v>
      </c>
      <c r="J33" s="96">
        <f t="shared" si="5"/>
        <v>284</v>
      </c>
      <c r="K33" s="96">
        <f t="shared" si="5"/>
        <v>339.44</v>
      </c>
      <c r="L33" s="96">
        <f t="shared" si="5"/>
        <v>351.2</v>
      </c>
      <c r="M33" s="96">
        <f>M21+M30+M31</f>
        <v>1933.81</v>
      </c>
    </row>
    <row r="34" spans="1:13" hidden="1">
      <c r="A34" s="119"/>
      <c r="B34" s="96"/>
      <c r="C34" s="96"/>
      <c r="D34" s="96"/>
      <c r="E34" s="96"/>
      <c r="F34" s="96"/>
      <c r="G34" s="96"/>
      <c r="H34" s="96"/>
      <c r="I34" s="96"/>
      <c r="J34" s="96"/>
      <c r="K34" s="96"/>
      <c r="L34" s="96"/>
      <c r="M34" s="96"/>
    </row>
    <row r="35" spans="1:13">
      <c r="A35" s="119" t="s">
        <v>75</v>
      </c>
      <c r="B35" s="96">
        <f>B16</f>
        <v>5319.3800000000019</v>
      </c>
      <c r="C35" s="96">
        <f>C16</f>
        <v>5796.3800000000019</v>
      </c>
      <c r="D35" s="96">
        <f t="shared" ref="D35:M35" si="6">D16</f>
        <v>6248.5800000000017</v>
      </c>
      <c r="E35" s="96">
        <f t="shared" si="6"/>
        <v>6527.3800000000019</v>
      </c>
      <c r="F35" s="96">
        <f t="shared" si="6"/>
        <v>7312.9400000000023</v>
      </c>
      <c r="G35" s="96">
        <f t="shared" si="6"/>
        <v>7784.2800000000025</v>
      </c>
      <c r="H35" s="96">
        <f t="shared" si="6"/>
        <v>8110.7800000000025</v>
      </c>
      <c r="I35" s="96">
        <f t="shared" si="6"/>
        <v>8463.8000000000029</v>
      </c>
      <c r="J35" s="96">
        <f t="shared" si="6"/>
        <v>8775.9600000000028</v>
      </c>
      <c r="K35" s="96">
        <f t="shared" si="6"/>
        <v>9241.9600000000028</v>
      </c>
      <c r="L35" s="96">
        <f t="shared" si="6"/>
        <v>9720.0200000000023</v>
      </c>
      <c r="M35" s="96">
        <f>M16</f>
        <v>10231.320000000002</v>
      </c>
    </row>
    <row r="36" spans="1:13">
      <c r="A36" s="119" t="s">
        <v>76</v>
      </c>
      <c r="B36" s="96">
        <f>B33</f>
        <v>326</v>
      </c>
      <c r="C36" s="96">
        <f t="shared" ref="C36:M36" si="7">C33</f>
        <v>342.8</v>
      </c>
      <c r="D36" s="96">
        <f t="shared" si="7"/>
        <v>351.2</v>
      </c>
      <c r="E36" s="96">
        <f t="shared" si="7"/>
        <v>339.44</v>
      </c>
      <c r="F36" s="96">
        <f t="shared" si="7"/>
        <v>346.15999999999997</v>
      </c>
      <c r="G36" s="96">
        <f t="shared" si="7"/>
        <v>326</v>
      </c>
      <c r="H36" s="96">
        <f t="shared" si="7"/>
        <v>344.48</v>
      </c>
      <c r="I36" s="96">
        <f t="shared" si="7"/>
        <v>347.84000000000003</v>
      </c>
      <c r="J36" s="96">
        <f t="shared" si="7"/>
        <v>284</v>
      </c>
      <c r="K36" s="96">
        <f t="shared" si="7"/>
        <v>339.44</v>
      </c>
      <c r="L36" s="96">
        <f t="shared" si="7"/>
        <v>351.2</v>
      </c>
      <c r="M36" s="96">
        <f t="shared" si="7"/>
        <v>1933.81</v>
      </c>
    </row>
    <row r="37" spans="1:13" hidden="1">
      <c r="A37" s="119"/>
      <c r="B37" s="96"/>
      <c r="C37" s="96"/>
      <c r="D37" s="96"/>
      <c r="E37" s="96"/>
      <c r="F37" s="96"/>
      <c r="G37" s="96"/>
      <c r="H37" s="96"/>
      <c r="I37" s="96"/>
      <c r="J37" s="96"/>
      <c r="K37" s="96"/>
      <c r="L37" s="96"/>
      <c r="M37" s="96"/>
    </row>
    <row r="38" spans="1:13">
      <c r="A38" s="118" t="s">
        <v>79</v>
      </c>
      <c r="B38" s="96">
        <f>B35-B36</f>
        <v>4993.3800000000019</v>
      </c>
      <c r="C38" s="96">
        <f t="shared" ref="C38:M38" si="8">C35-C36</f>
        <v>5453.5800000000017</v>
      </c>
      <c r="D38" s="96">
        <f t="shared" si="8"/>
        <v>5897.3800000000019</v>
      </c>
      <c r="E38" s="96">
        <f t="shared" si="8"/>
        <v>6187.9400000000023</v>
      </c>
      <c r="F38" s="96">
        <f t="shared" si="8"/>
        <v>6966.7800000000025</v>
      </c>
      <c r="G38" s="96">
        <f t="shared" si="8"/>
        <v>7458.2800000000025</v>
      </c>
      <c r="H38" s="96">
        <f t="shared" si="8"/>
        <v>7766.3000000000029</v>
      </c>
      <c r="I38" s="96">
        <f t="shared" si="8"/>
        <v>8115.9600000000028</v>
      </c>
      <c r="J38" s="96">
        <f t="shared" si="8"/>
        <v>8491.9600000000028</v>
      </c>
      <c r="K38" s="96">
        <f t="shared" si="8"/>
        <v>8902.5200000000023</v>
      </c>
      <c r="L38" s="96">
        <f t="shared" si="8"/>
        <v>9368.8200000000015</v>
      </c>
      <c r="M38" s="96">
        <f t="shared" si="8"/>
        <v>8297.510000000002</v>
      </c>
    </row>
    <row r="39" spans="1:13" hidden="1">
      <c r="A39" s="119" t="s">
        <v>80</v>
      </c>
      <c r="B39" s="96">
        <v>0</v>
      </c>
      <c r="C39" s="96">
        <v>0</v>
      </c>
      <c r="D39" s="96">
        <v>0</v>
      </c>
      <c r="E39" s="96">
        <v>0</v>
      </c>
      <c r="F39" s="96">
        <v>0</v>
      </c>
      <c r="G39" s="96">
        <v>0</v>
      </c>
      <c r="H39" s="96">
        <v>0</v>
      </c>
      <c r="I39" s="96">
        <v>0</v>
      </c>
      <c r="J39" s="96">
        <v>0</v>
      </c>
      <c r="K39" s="96">
        <v>0</v>
      </c>
      <c r="L39" s="96">
        <v>0</v>
      </c>
      <c r="M39" s="96">
        <v>0</v>
      </c>
    </row>
    <row r="40" spans="1:13">
      <c r="A40" s="119" t="s">
        <v>81</v>
      </c>
      <c r="B40" s="96">
        <f>B38-B39</f>
        <v>4993.3800000000019</v>
      </c>
      <c r="C40" s="96">
        <f t="shared" ref="C40:M40" si="9">C38-C39</f>
        <v>5453.5800000000017</v>
      </c>
      <c r="D40" s="96">
        <f t="shared" si="9"/>
        <v>5897.3800000000019</v>
      </c>
      <c r="E40" s="96">
        <f t="shared" si="9"/>
        <v>6187.9400000000023</v>
      </c>
      <c r="F40" s="96">
        <f t="shared" si="9"/>
        <v>6966.7800000000025</v>
      </c>
      <c r="G40" s="96">
        <f t="shared" si="9"/>
        <v>7458.2800000000025</v>
      </c>
      <c r="H40" s="96">
        <f t="shared" si="9"/>
        <v>7766.3000000000029</v>
      </c>
      <c r="I40" s="96">
        <f t="shared" si="9"/>
        <v>8115.9600000000028</v>
      </c>
      <c r="J40" s="96">
        <f t="shared" si="9"/>
        <v>8491.9600000000028</v>
      </c>
      <c r="K40" s="96">
        <f t="shared" si="9"/>
        <v>8902.5200000000023</v>
      </c>
      <c r="L40" s="96">
        <f t="shared" si="9"/>
        <v>9368.8200000000015</v>
      </c>
      <c r="M40" s="132">
        <f t="shared" si="9"/>
        <v>8297.510000000002</v>
      </c>
    </row>
    <row r="41" spans="1:13">
      <c r="A41" s="119"/>
      <c r="B41" s="80"/>
      <c r="C41" s="80"/>
      <c r="D41" s="80"/>
      <c r="E41" s="80"/>
      <c r="F41" s="80"/>
      <c r="G41" s="80"/>
      <c r="H41" s="80"/>
      <c r="I41" s="80"/>
      <c r="J41" s="80"/>
      <c r="K41" s="80"/>
      <c r="L41" s="80"/>
      <c r="M41" s="80"/>
    </row>
  </sheetData>
  <mergeCells count="4">
    <mergeCell ref="A1:M1"/>
    <mergeCell ref="A2:M2"/>
    <mergeCell ref="A3:M3"/>
    <mergeCell ref="A4:M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479F1-354D-4447-811C-763764FC9EB1}">
  <dimension ref="A1:N48"/>
  <sheetViews>
    <sheetView topLeftCell="B1" workbookViewId="0">
      <selection activeCell="H11" sqref="H11"/>
    </sheetView>
  </sheetViews>
  <sheetFormatPr baseColWidth="10" defaultRowHeight="15.6"/>
  <cols>
    <col min="2" max="2" width="36.8984375" customWidth="1"/>
    <col min="3" max="3" width="17.59765625" customWidth="1"/>
    <col min="10" max="12" width="0" hidden="1" customWidth="1"/>
  </cols>
  <sheetData>
    <row r="1" spans="1:14">
      <c r="B1" s="60" t="s">
        <v>168</v>
      </c>
      <c r="C1" s="60"/>
      <c r="D1" s="65"/>
      <c r="E1" s="65"/>
      <c r="F1" s="65"/>
      <c r="G1" s="65"/>
      <c r="H1" s="65"/>
      <c r="I1" s="65"/>
      <c r="J1" s="65"/>
      <c r="K1" s="65"/>
      <c r="L1" s="65"/>
      <c r="M1" s="65"/>
      <c r="N1" s="65"/>
    </row>
    <row r="2" spans="1:14">
      <c r="B2" s="60" t="s">
        <v>59</v>
      </c>
      <c r="C2" s="60"/>
      <c r="D2" s="65"/>
      <c r="E2" s="65"/>
      <c r="F2" s="65"/>
      <c r="G2" s="65"/>
      <c r="H2" s="65"/>
      <c r="I2" s="65"/>
      <c r="J2" s="65"/>
      <c r="K2" s="65"/>
      <c r="L2" s="65"/>
      <c r="M2" s="65"/>
      <c r="N2" s="65"/>
    </row>
    <row r="3" spans="1:14">
      <c r="B3" s="60" t="s">
        <v>176</v>
      </c>
      <c r="C3" s="60"/>
      <c r="D3" s="65"/>
      <c r="E3" s="65"/>
      <c r="F3" s="65"/>
      <c r="G3" s="65"/>
      <c r="H3" s="65"/>
      <c r="I3" s="65"/>
      <c r="J3" s="65"/>
      <c r="K3" s="65"/>
      <c r="L3" s="65"/>
      <c r="M3" s="65"/>
      <c r="N3" s="65"/>
    </row>
    <row r="4" spans="1:14" hidden="1">
      <c r="A4" t="s">
        <v>2</v>
      </c>
      <c r="B4" s="60" t="s">
        <v>171</v>
      </c>
      <c r="C4" s="60"/>
      <c r="D4" s="60"/>
      <c r="E4" s="60"/>
      <c r="F4" s="60"/>
      <c r="G4" s="60"/>
      <c r="H4" s="60"/>
      <c r="I4" s="60"/>
      <c r="J4" s="60"/>
      <c r="K4" s="60"/>
      <c r="L4" s="60"/>
      <c r="M4" s="60"/>
      <c r="N4" s="60"/>
    </row>
    <row r="5" spans="1:14">
      <c r="B5" s="66" t="s">
        <v>171</v>
      </c>
      <c r="C5" s="66"/>
      <c r="D5" s="65"/>
      <c r="E5" s="65"/>
      <c r="F5" s="65"/>
      <c r="G5" s="65"/>
      <c r="H5" s="65"/>
      <c r="I5" s="65"/>
      <c r="J5" s="65"/>
      <c r="K5" s="65"/>
      <c r="L5" s="65"/>
      <c r="M5" s="65"/>
      <c r="N5" s="65"/>
    </row>
    <row r="6" spans="1:14">
      <c r="B6" s="129" t="s">
        <v>90</v>
      </c>
      <c r="C6" s="129"/>
    </row>
    <row r="7" spans="1:14">
      <c r="B7" s="42" t="s">
        <v>91</v>
      </c>
      <c r="C7" s="49">
        <f>'Cash Flow Year 1 '!M37</f>
        <v>3289.6300000000006</v>
      </c>
    </row>
    <row r="8" spans="1:14">
      <c r="B8" s="42" t="s">
        <v>92</v>
      </c>
      <c r="C8" s="49">
        <f>'Income Statement Year 1 '!N14</f>
        <v>2368.8000000000002</v>
      </c>
    </row>
    <row r="9" spans="1:14">
      <c r="B9" s="42" t="s">
        <v>93</v>
      </c>
      <c r="C9" s="49">
        <v>1100</v>
      </c>
    </row>
    <row r="10" spans="1:14">
      <c r="B10" s="43" t="s">
        <v>94</v>
      </c>
      <c r="C10" s="125">
        <f>SUM(C7:C9)</f>
        <v>6758.43</v>
      </c>
    </row>
    <row r="11" spans="1:14">
      <c r="B11" s="43" t="s">
        <v>95</v>
      </c>
      <c r="C11" s="49"/>
    </row>
    <row r="12" spans="1:14">
      <c r="B12" s="42" t="s">
        <v>104</v>
      </c>
      <c r="C12" s="49">
        <v>80</v>
      </c>
    </row>
    <row r="13" spans="1:14">
      <c r="B13" s="126" t="s">
        <v>105</v>
      </c>
      <c r="C13" s="49">
        <v>225</v>
      </c>
    </row>
    <row r="14" spans="1:14">
      <c r="B14" s="126" t="s">
        <v>106</v>
      </c>
      <c r="C14" s="49">
        <v>55.33</v>
      </c>
    </row>
    <row r="15" spans="1:14">
      <c r="B15" s="126" t="s">
        <v>107</v>
      </c>
      <c r="C15" s="49">
        <v>240</v>
      </c>
    </row>
    <row r="16" spans="1:14">
      <c r="B16" s="126" t="s">
        <v>108</v>
      </c>
      <c r="C16" s="49">
        <v>13.33</v>
      </c>
    </row>
    <row r="17" spans="2:12">
      <c r="B17" s="126" t="s">
        <v>109</v>
      </c>
      <c r="C17" s="49">
        <v>240</v>
      </c>
    </row>
    <row r="18" spans="2:12">
      <c r="B18" s="126" t="s">
        <v>166</v>
      </c>
      <c r="C18" s="49">
        <v>200</v>
      </c>
    </row>
    <row r="19" spans="2:12">
      <c r="B19" s="43" t="s">
        <v>134</v>
      </c>
      <c r="C19" s="125">
        <f>SUM(C12:C18)</f>
        <v>1053.6599999999999</v>
      </c>
      <c r="J19">
        <f>C19+296.34</f>
        <v>1349.9999999999998</v>
      </c>
      <c r="K19" t="s">
        <v>167</v>
      </c>
      <c r="L19">
        <f>1350-296.34</f>
        <v>1053.6600000000001</v>
      </c>
    </row>
    <row r="20" spans="2:12">
      <c r="B20" s="43" t="s">
        <v>135</v>
      </c>
      <c r="C20" s="125">
        <f>C10+C19</f>
        <v>7812.09</v>
      </c>
    </row>
    <row r="21" spans="2:12">
      <c r="B21" s="127" t="s">
        <v>96</v>
      </c>
      <c r="C21" s="49"/>
    </row>
    <row r="22" spans="2:12">
      <c r="B22" s="42" t="s">
        <v>137</v>
      </c>
      <c r="C22" s="49">
        <v>380</v>
      </c>
    </row>
    <row r="23" spans="2:12" hidden="1">
      <c r="B23" s="43"/>
      <c r="C23" s="49"/>
    </row>
    <row r="24" spans="2:12">
      <c r="B24" s="42" t="s">
        <v>155</v>
      </c>
      <c r="C24" s="49">
        <f>'Start Up Costs '!B33-'Cash Flow Year 1 '!M28</f>
        <v>2135.38</v>
      </c>
    </row>
    <row r="25" spans="2:12">
      <c r="B25" s="43" t="s">
        <v>97</v>
      </c>
      <c r="C25" s="125">
        <f>SUM(C22:C24)</f>
        <v>2515.38</v>
      </c>
    </row>
    <row r="26" spans="2:12" ht="16.2" thickBot="1">
      <c r="B26" s="42" t="s">
        <v>98</v>
      </c>
      <c r="C26" s="128">
        <f>C20-C25</f>
        <v>5296.71</v>
      </c>
    </row>
    <row r="27" spans="2:12" ht="16.2" thickTop="1"/>
    <row r="32" spans="2:12" hidden="1"/>
    <row r="33" spans="4:14" ht="18" hidden="1">
      <c r="D33" s="10" t="s">
        <v>59</v>
      </c>
    </row>
    <row r="34" spans="4:14" hidden="1"/>
    <row r="35" spans="4:14" hidden="1">
      <c r="D35" s="3" t="s">
        <v>54</v>
      </c>
    </row>
    <row r="36" spans="4:14" hidden="1"/>
    <row r="37" spans="4:14" hidden="1">
      <c r="D37" s="3" t="s">
        <v>60</v>
      </c>
    </row>
    <row r="38" spans="4:14" hidden="1"/>
    <row r="39" spans="4:14" hidden="1">
      <c r="D39" s="4" t="s">
        <v>55</v>
      </c>
    </row>
    <row r="40" spans="4:14" hidden="1">
      <c r="D40" s="4" t="s">
        <v>56</v>
      </c>
    </row>
    <row r="41" spans="4:14" hidden="1">
      <c r="D41" s="4" t="s">
        <v>57</v>
      </c>
    </row>
    <row r="42" spans="4:14" hidden="1">
      <c r="D42" s="4" t="s">
        <v>58</v>
      </c>
    </row>
    <row r="43" spans="4:14" hidden="1"/>
    <row r="44" spans="4:14" hidden="1">
      <c r="D44" s="4" t="s">
        <v>45</v>
      </c>
      <c r="N44" t="s">
        <v>89</v>
      </c>
    </row>
    <row r="45" spans="4:14" hidden="1">
      <c r="D45" s="3" t="s">
        <v>61</v>
      </c>
    </row>
    <row r="46" spans="4:14" hidden="1">
      <c r="D46" s="3" t="s">
        <v>62</v>
      </c>
    </row>
    <row r="47" spans="4:14" hidden="1">
      <c r="D47" s="3" t="s">
        <v>78</v>
      </c>
    </row>
    <row r="48" spans="4:14" hidden="1">
      <c r="D48" s="11"/>
    </row>
  </sheetData>
  <mergeCells count="5">
    <mergeCell ref="B4:N4"/>
    <mergeCell ref="B1:C1"/>
    <mergeCell ref="B2:C2"/>
    <mergeCell ref="B3:C3"/>
    <mergeCell ref="B5:C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B6F2-ED8F-7B4B-9A9F-B8704A1B90CB}">
  <dimension ref="A1:M28"/>
  <sheetViews>
    <sheetView workbookViewId="0">
      <selection activeCell="M17" sqref="M17"/>
    </sheetView>
  </sheetViews>
  <sheetFormatPr baseColWidth="10" defaultRowHeight="15.6"/>
  <cols>
    <col min="1" max="1" width="22.3984375" customWidth="1"/>
    <col min="2" max="2" width="29.5" customWidth="1"/>
    <col min="3" max="10" width="0" hidden="1" customWidth="1"/>
  </cols>
  <sheetData>
    <row r="1" spans="1:13">
      <c r="A1" s="60" t="s">
        <v>168</v>
      </c>
      <c r="B1" s="60"/>
      <c r="C1" s="54"/>
      <c r="D1" s="54"/>
      <c r="E1" s="54"/>
      <c r="F1" s="54"/>
      <c r="G1" s="54"/>
      <c r="H1" s="54"/>
      <c r="I1" s="54"/>
      <c r="J1" s="54"/>
      <c r="K1" s="54"/>
      <c r="L1" s="54"/>
      <c r="M1" s="54"/>
    </row>
    <row r="2" spans="1:13" hidden="1">
      <c r="A2" s="60" t="s">
        <v>59</v>
      </c>
      <c r="B2" s="60"/>
      <c r="C2" s="54"/>
      <c r="D2" s="54"/>
      <c r="E2" s="54"/>
      <c r="F2" s="54"/>
      <c r="G2" s="54"/>
      <c r="H2" s="54"/>
      <c r="I2" s="54"/>
      <c r="J2" s="54"/>
      <c r="K2" s="54"/>
      <c r="L2" s="54"/>
      <c r="M2" s="54"/>
    </row>
    <row r="3" spans="1:13">
      <c r="A3" s="67" t="s">
        <v>177</v>
      </c>
      <c r="B3" s="67"/>
      <c r="C3" s="54"/>
      <c r="D3" s="54"/>
      <c r="E3" s="54"/>
      <c r="F3" s="54"/>
      <c r="G3" s="54"/>
      <c r="H3" s="54"/>
      <c r="I3" s="54"/>
      <c r="J3" s="54"/>
      <c r="K3" s="54"/>
      <c r="L3" s="54"/>
      <c r="M3" s="54"/>
    </row>
    <row r="4" spans="1:13">
      <c r="A4" s="60" t="s">
        <v>176</v>
      </c>
      <c r="B4" s="60"/>
      <c r="C4" s="54"/>
      <c r="D4" s="54"/>
      <c r="E4" s="54"/>
      <c r="F4" s="54"/>
      <c r="G4" s="54"/>
      <c r="H4" s="54"/>
      <c r="I4" s="54"/>
      <c r="J4" s="54"/>
      <c r="K4" s="54"/>
      <c r="L4" s="54"/>
      <c r="M4" s="54"/>
    </row>
    <row r="5" spans="1:13">
      <c r="A5" s="60" t="s">
        <v>171</v>
      </c>
      <c r="B5" s="60"/>
      <c r="C5" s="54"/>
      <c r="D5" s="54"/>
      <c r="E5" s="54"/>
      <c r="F5" s="54"/>
      <c r="G5" s="54"/>
      <c r="H5" s="54"/>
      <c r="I5" s="54"/>
      <c r="J5" s="54"/>
      <c r="K5" s="54"/>
      <c r="L5" s="54"/>
      <c r="M5" s="54"/>
    </row>
    <row r="7" spans="1:13" hidden="1">
      <c r="A7" s="27" t="s">
        <v>139</v>
      </c>
      <c r="B7" s="21"/>
    </row>
    <row r="8" spans="1:13">
      <c r="A8" s="130" t="s">
        <v>90</v>
      </c>
      <c r="B8" s="131"/>
    </row>
    <row r="9" spans="1:13">
      <c r="A9" s="42" t="s">
        <v>91</v>
      </c>
      <c r="B9" s="49">
        <f>'Cash Flow Year 2'!M39</f>
        <v>4554.3800000000019</v>
      </c>
    </row>
    <row r="10" spans="1:13">
      <c r="A10" s="42" t="s">
        <v>92</v>
      </c>
      <c r="B10" s="49">
        <f>'Income Statement Year 2 '!N13</f>
        <v>3077.2000000000003</v>
      </c>
    </row>
    <row r="11" spans="1:13">
      <c r="A11" s="42" t="s">
        <v>93</v>
      </c>
      <c r="B11" s="49">
        <v>1264</v>
      </c>
      <c r="H11" s="28" t="s">
        <v>140</v>
      </c>
      <c r="I11" s="28">
        <v>5922</v>
      </c>
      <c r="J11" s="28">
        <v>6433.17</v>
      </c>
    </row>
    <row r="12" spans="1:13">
      <c r="A12" s="43" t="s">
        <v>94</v>
      </c>
      <c r="B12" s="125">
        <f>SUM(B9:B11)</f>
        <v>8895.5800000000017</v>
      </c>
      <c r="H12" s="28" t="s">
        <v>141</v>
      </c>
      <c r="I12" s="28">
        <v>1350</v>
      </c>
      <c r="J12" s="28">
        <v>1350</v>
      </c>
    </row>
    <row r="13" spans="1:13">
      <c r="A13" s="42" t="s">
        <v>95</v>
      </c>
      <c r="B13" s="49"/>
      <c r="H13" s="28" t="s">
        <v>142</v>
      </c>
      <c r="I13" s="28" t="s">
        <v>143</v>
      </c>
      <c r="J13" s="28">
        <v>767</v>
      </c>
    </row>
    <row r="14" spans="1:13">
      <c r="A14" s="42" t="s">
        <v>104</v>
      </c>
      <c r="B14" s="49">
        <v>60</v>
      </c>
      <c r="H14" s="28" t="s">
        <v>144</v>
      </c>
      <c r="I14" s="28">
        <v>1350</v>
      </c>
      <c r="J14" s="28">
        <v>583</v>
      </c>
    </row>
    <row r="15" spans="1:13">
      <c r="A15" s="126" t="s">
        <v>105</v>
      </c>
      <c r="B15" s="49">
        <v>150</v>
      </c>
      <c r="H15" s="28" t="s">
        <v>145</v>
      </c>
      <c r="I15" s="28">
        <v>7272</v>
      </c>
      <c r="J15" s="28">
        <v>7016.17</v>
      </c>
    </row>
    <row r="16" spans="1:13">
      <c r="A16" s="126" t="s">
        <v>106</v>
      </c>
      <c r="B16" s="49">
        <v>26.66</v>
      </c>
      <c r="H16" s="28" t="s">
        <v>146</v>
      </c>
      <c r="I16" s="28">
        <v>855</v>
      </c>
      <c r="J16" s="28">
        <v>855</v>
      </c>
    </row>
    <row r="17" spans="1:10">
      <c r="A17" s="126" t="s">
        <v>107</v>
      </c>
      <c r="B17" s="49">
        <v>180</v>
      </c>
      <c r="H17" s="28" t="s">
        <v>147</v>
      </c>
      <c r="I17" s="28">
        <v>6417</v>
      </c>
      <c r="J17" s="28">
        <v>6417</v>
      </c>
    </row>
    <row r="18" spans="1:10">
      <c r="A18" s="126" t="s">
        <v>108</v>
      </c>
      <c r="B18" s="49">
        <v>10.66</v>
      </c>
      <c r="H18" s="28" t="s">
        <v>80</v>
      </c>
      <c r="I18" s="28" t="s">
        <v>143</v>
      </c>
      <c r="J18" s="28">
        <v>2253.08</v>
      </c>
    </row>
    <row r="19" spans="1:10">
      <c r="A19" s="126" t="s">
        <v>109</v>
      </c>
      <c r="B19" s="49">
        <v>180</v>
      </c>
      <c r="H19" s="28" t="s">
        <v>148</v>
      </c>
      <c r="I19" s="28">
        <v>6417</v>
      </c>
      <c r="J19" s="28">
        <v>8670.08</v>
      </c>
    </row>
    <row r="20" spans="1:10">
      <c r="A20" s="126" t="s">
        <v>110</v>
      </c>
      <c r="B20" s="49">
        <v>150</v>
      </c>
    </row>
    <row r="21" spans="1:10">
      <c r="A21" s="43" t="s">
        <v>134</v>
      </c>
      <c r="B21" s="125">
        <f>SUM(B14:B20)</f>
        <v>757.31999999999994</v>
      </c>
      <c r="C21" s="41">
        <f>1350+296.34+296.34</f>
        <v>1942.6799999999998</v>
      </c>
      <c r="D21">
        <f>1053.66-296.34</f>
        <v>757.32000000000016</v>
      </c>
      <c r="E21" s="41"/>
    </row>
    <row r="22" spans="1:10">
      <c r="A22" s="43" t="s">
        <v>135</v>
      </c>
      <c r="B22" s="125">
        <f>B12+B21</f>
        <v>9652.9000000000015</v>
      </c>
    </row>
    <row r="23" spans="1:10">
      <c r="A23" s="43" t="s">
        <v>96</v>
      </c>
      <c r="B23" s="49"/>
    </row>
    <row r="24" spans="1:10">
      <c r="A24" s="42" t="s">
        <v>137</v>
      </c>
      <c r="B24" s="49">
        <v>400</v>
      </c>
    </row>
    <row r="25" spans="1:10">
      <c r="A25" s="42" t="s">
        <v>138</v>
      </c>
      <c r="B25" s="49">
        <f>'Balance Sheet Year 1 '!C24-'Cash Flow Year 2'!M30</f>
        <v>1195.7600000000002</v>
      </c>
    </row>
    <row r="26" spans="1:10">
      <c r="A26" s="43" t="s">
        <v>97</v>
      </c>
      <c r="B26" s="125">
        <f>SUM(B24:B25)</f>
        <v>1595.7600000000002</v>
      </c>
    </row>
    <row r="27" spans="1:10" ht="16.2" thickBot="1">
      <c r="A27" s="42" t="s">
        <v>98</v>
      </c>
      <c r="B27" s="128">
        <f>B22-B26</f>
        <v>8057.1400000000012</v>
      </c>
    </row>
    <row r="28" spans="1:10" ht="16.2" thickTop="1"/>
  </sheetData>
  <mergeCells count="5">
    <mergeCell ref="A1:B1"/>
    <mergeCell ref="A2:B2"/>
    <mergeCell ref="A4:B4"/>
    <mergeCell ref="A5:B5"/>
    <mergeCell ref="A3:B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B00DE-F3F4-454E-92DB-ED0DF06D9E89}">
  <dimension ref="A1:E31"/>
  <sheetViews>
    <sheetView workbookViewId="0">
      <selection activeCell="G14" sqref="G14"/>
    </sheetView>
  </sheetViews>
  <sheetFormatPr baseColWidth="10" defaultRowHeight="15.6"/>
  <cols>
    <col min="1" max="1" width="28.796875" customWidth="1"/>
    <col min="2" max="2" width="23.3984375" customWidth="1"/>
  </cols>
  <sheetData>
    <row r="1" spans="1:2">
      <c r="A1" s="60" t="s">
        <v>168</v>
      </c>
      <c r="B1" s="60"/>
    </row>
    <row r="2" spans="1:2">
      <c r="A2" s="60" t="s">
        <v>59</v>
      </c>
      <c r="B2" s="60"/>
    </row>
    <row r="3" spans="1:2">
      <c r="A3" s="60" t="s">
        <v>176</v>
      </c>
      <c r="B3" s="60"/>
    </row>
    <row r="4" spans="1:2">
      <c r="A4" s="60" t="s">
        <v>171</v>
      </c>
      <c r="B4" s="60"/>
    </row>
    <row r="5" spans="1:2" hidden="1"/>
    <row r="6" spans="1:2" hidden="1">
      <c r="A6" t="s">
        <v>4</v>
      </c>
    </row>
    <row r="7" spans="1:2" hidden="1"/>
    <row r="8" spans="1:2" hidden="1">
      <c r="A8" t="s">
        <v>3</v>
      </c>
    </row>
    <row r="9" spans="1:2" hidden="1">
      <c r="A9" s="27" t="s">
        <v>139</v>
      </c>
      <c r="B9" s="21"/>
    </row>
    <row r="10" spans="1:2">
      <c r="A10" s="130" t="s">
        <v>90</v>
      </c>
      <c r="B10" s="131"/>
    </row>
    <row r="11" spans="1:2">
      <c r="A11" s="42" t="s">
        <v>91</v>
      </c>
      <c r="B11" s="49">
        <f>'Cash Flow Year 3'!M40</f>
        <v>8297.510000000002</v>
      </c>
    </row>
    <row r="12" spans="1:2">
      <c r="A12" s="42" t="s">
        <v>92</v>
      </c>
      <c r="B12" s="49">
        <f>'Cash Flow Year 3'!M12</f>
        <v>345</v>
      </c>
    </row>
    <row r="13" spans="1:2">
      <c r="A13" s="42" t="s">
        <v>93</v>
      </c>
      <c r="B13" s="49">
        <v>1455</v>
      </c>
    </row>
    <row r="14" spans="1:2">
      <c r="A14" s="43" t="s">
        <v>94</v>
      </c>
      <c r="B14" s="125">
        <f>SUM(B11:B13)</f>
        <v>10097.510000000002</v>
      </c>
    </row>
    <row r="15" spans="1:2">
      <c r="A15" s="42" t="s">
        <v>95</v>
      </c>
      <c r="B15" s="49"/>
    </row>
    <row r="16" spans="1:2">
      <c r="A16" s="42" t="s">
        <v>104</v>
      </c>
      <c r="B16" s="49">
        <v>40</v>
      </c>
    </row>
    <row r="17" spans="1:5">
      <c r="A17" s="126" t="s">
        <v>105</v>
      </c>
      <c r="B17" s="49">
        <v>0</v>
      </c>
    </row>
    <row r="18" spans="1:5" ht="31.2">
      <c r="A18" s="126" t="s">
        <v>106</v>
      </c>
      <c r="B18" s="49">
        <v>0</v>
      </c>
    </row>
    <row r="19" spans="1:5">
      <c r="A19" s="126" t="s">
        <v>107</v>
      </c>
      <c r="B19" s="49">
        <v>120</v>
      </c>
    </row>
    <row r="20" spans="1:5">
      <c r="A20" s="126" t="s">
        <v>108</v>
      </c>
      <c r="B20" s="49">
        <v>0</v>
      </c>
    </row>
    <row r="21" spans="1:5">
      <c r="A21" s="126" t="s">
        <v>109</v>
      </c>
      <c r="B21" s="49">
        <v>120</v>
      </c>
    </row>
    <row r="22" spans="1:5">
      <c r="A22" s="126" t="s">
        <v>110</v>
      </c>
      <c r="B22" s="49">
        <v>100</v>
      </c>
    </row>
    <row r="23" spans="1:5">
      <c r="A23" s="43" t="s">
        <v>134</v>
      </c>
      <c r="B23" s="125">
        <f>SUM(B16:B22)</f>
        <v>380</v>
      </c>
    </row>
    <row r="24" spans="1:5" hidden="1">
      <c r="A24" s="43"/>
      <c r="B24" s="125"/>
      <c r="C24">
        <f>'Balance Sheet Year 2 '!B21</f>
        <v>757.31999999999994</v>
      </c>
      <c r="D24">
        <v>296.33999999999997</v>
      </c>
      <c r="E24">
        <f>C24-D24</f>
        <v>460.97999999999996</v>
      </c>
    </row>
    <row r="25" spans="1:5">
      <c r="A25" s="43" t="s">
        <v>135</v>
      </c>
      <c r="B25" s="125">
        <f>B14+B23-B24</f>
        <v>10477.510000000002</v>
      </c>
    </row>
    <row r="26" spans="1:5">
      <c r="A26" s="43" t="s">
        <v>96</v>
      </c>
      <c r="B26" s="49"/>
    </row>
    <row r="27" spans="1:5">
      <c r="A27" s="42" t="s">
        <v>137</v>
      </c>
      <c r="B27" s="49">
        <v>315</v>
      </c>
    </row>
    <row r="28" spans="1:5">
      <c r="A28" s="42" t="s">
        <v>138</v>
      </c>
      <c r="B28" s="49">
        <f>'Balance Sheet Year 2 '!B25-'Cash Flow Year 3'!M31</f>
        <v>256.14000000000044</v>
      </c>
    </row>
    <row r="29" spans="1:5">
      <c r="A29" s="43" t="s">
        <v>97</v>
      </c>
      <c r="B29" s="125">
        <f>SUM(B27:B28)</f>
        <v>571.14000000000044</v>
      </c>
    </row>
    <row r="30" spans="1:5" ht="16.2" thickBot="1">
      <c r="A30" s="42" t="s">
        <v>98</v>
      </c>
      <c r="B30" s="128">
        <f>B25-B29</f>
        <v>9906.3700000000008</v>
      </c>
    </row>
    <row r="31" spans="1:5" ht="16.2" thickTop="1"/>
  </sheetData>
  <mergeCells count="4">
    <mergeCell ref="A1:B1"/>
    <mergeCell ref="A2:B2"/>
    <mergeCell ref="A3:B3"/>
    <mergeCell ref="A4:B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3AB8B2-EED7-45F0-AFA4-713802C6D829}">
  <dimension ref="A1:H18"/>
  <sheetViews>
    <sheetView workbookViewId="0">
      <selection activeCell="K30" sqref="K30"/>
    </sheetView>
  </sheetViews>
  <sheetFormatPr baseColWidth="10" defaultRowHeight="15.6"/>
  <sheetData>
    <row r="1" spans="1:8">
      <c r="A1" s="24" t="s">
        <v>117</v>
      </c>
      <c r="B1" s="24" t="s">
        <v>118</v>
      </c>
      <c r="C1" s="24" t="s">
        <v>119</v>
      </c>
      <c r="D1" s="24" t="s">
        <v>120</v>
      </c>
      <c r="E1" s="24" t="s">
        <v>117</v>
      </c>
      <c r="F1" s="24" t="s">
        <v>118</v>
      </c>
      <c r="G1" s="24" t="s">
        <v>119</v>
      </c>
      <c r="H1" s="24" t="s">
        <v>120</v>
      </c>
    </row>
    <row r="2" spans="1:8">
      <c r="A2" s="24" t="s">
        <v>121</v>
      </c>
      <c r="B2" s="24"/>
      <c r="C2" s="24"/>
      <c r="D2" s="24"/>
      <c r="E2" s="24"/>
      <c r="F2" s="24">
        <v>6</v>
      </c>
      <c r="G2" s="24">
        <v>7</v>
      </c>
      <c r="H2" s="24">
        <v>7.5</v>
      </c>
    </row>
    <row r="3" spans="1:8">
      <c r="A3" s="20" t="s">
        <v>122</v>
      </c>
      <c r="B3" s="20">
        <v>75</v>
      </c>
      <c r="C3" s="20">
        <v>84</v>
      </c>
      <c r="D3" s="20">
        <v>102</v>
      </c>
      <c r="E3" s="20" t="s">
        <v>122</v>
      </c>
      <c r="F3" s="25">
        <f>B3*F2</f>
        <v>450</v>
      </c>
      <c r="G3" s="25">
        <f>C3*G2</f>
        <v>588</v>
      </c>
      <c r="H3" s="25">
        <f>D3*H2</f>
        <v>765</v>
      </c>
    </row>
    <row r="4" spans="1:8">
      <c r="A4" s="20" t="s">
        <v>123</v>
      </c>
      <c r="B4" s="20">
        <v>85</v>
      </c>
      <c r="C4" s="20">
        <v>95</v>
      </c>
      <c r="D4" s="20">
        <v>107</v>
      </c>
      <c r="E4" s="20" t="s">
        <v>123</v>
      </c>
      <c r="F4" s="25">
        <f>B4*F2</f>
        <v>510</v>
      </c>
      <c r="G4" s="25">
        <f>C4*7</f>
        <v>665</v>
      </c>
      <c r="H4" s="25">
        <f>D4*7.5</f>
        <v>802.5</v>
      </c>
    </row>
    <row r="5" spans="1:8">
      <c r="A5" s="20" t="s">
        <v>124</v>
      </c>
      <c r="B5" s="20">
        <v>90</v>
      </c>
      <c r="C5" s="20">
        <v>95</v>
      </c>
      <c r="D5" s="20">
        <v>106</v>
      </c>
      <c r="E5" s="20" t="s">
        <v>124</v>
      </c>
      <c r="F5" s="25">
        <f>B5*6</f>
        <v>540</v>
      </c>
      <c r="G5" s="25">
        <f t="shared" ref="G5:G14" si="0">C5*7</f>
        <v>665</v>
      </c>
      <c r="H5" s="25">
        <f t="shared" ref="H5:H14" si="1">D5*7.5</f>
        <v>795</v>
      </c>
    </row>
    <row r="6" spans="1:8">
      <c r="A6" s="20" t="s">
        <v>125</v>
      </c>
      <c r="B6" s="20">
        <v>83</v>
      </c>
      <c r="C6" s="20">
        <v>95</v>
      </c>
      <c r="D6" s="20">
        <v>84</v>
      </c>
      <c r="E6" s="20" t="s">
        <v>125</v>
      </c>
      <c r="F6" s="25">
        <f t="shared" ref="F6:F14" si="2">B6*6</f>
        <v>498</v>
      </c>
      <c r="G6" s="25">
        <f t="shared" si="0"/>
        <v>665</v>
      </c>
      <c r="H6" s="25">
        <f t="shared" si="1"/>
        <v>630</v>
      </c>
    </row>
    <row r="7" spans="1:8">
      <c r="A7" s="20" t="s">
        <v>126</v>
      </c>
      <c r="B7" s="20">
        <v>87</v>
      </c>
      <c r="C7" s="20">
        <v>97</v>
      </c>
      <c r="D7" s="20">
        <v>150</v>
      </c>
      <c r="E7" s="20" t="s">
        <v>126</v>
      </c>
      <c r="F7" s="25">
        <f t="shared" si="2"/>
        <v>522</v>
      </c>
      <c r="G7" s="25">
        <f t="shared" si="0"/>
        <v>679</v>
      </c>
      <c r="H7" s="25">
        <f t="shared" si="1"/>
        <v>1125</v>
      </c>
    </row>
    <row r="8" spans="1:8">
      <c r="A8" s="20" t="s">
        <v>127</v>
      </c>
      <c r="B8" s="20">
        <v>75</v>
      </c>
      <c r="C8" s="20">
        <v>95</v>
      </c>
      <c r="D8" s="20">
        <v>109</v>
      </c>
      <c r="E8" s="20" t="s">
        <v>127</v>
      </c>
      <c r="F8" s="25">
        <f t="shared" si="2"/>
        <v>450</v>
      </c>
      <c r="G8" s="25">
        <f t="shared" si="0"/>
        <v>665</v>
      </c>
      <c r="H8" s="25">
        <f t="shared" si="1"/>
        <v>817.5</v>
      </c>
    </row>
    <row r="9" spans="1:8">
      <c r="A9" s="20" t="s">
        <v>128</v>
      </c>
      <c r="B9" s="20">
        <v>86</v>
      </c>
      <c r="C9" s="20">
        <v>95</v>
      </c>
      <c r="D9" s="20">
        <v>87</v>
      </c>
      <c r="E9" s="20" t="s">
        <v>128</v>
      </c>
      <c r="F9" s="25">
        <f t="shared" si="2"/>
        <v>516</v>
      </c>
      <c r="G9" s="25">
        <f t="shared" si="0"/>
        <v>665</v>
      </c>
      <c r="H9" s="25">
        <f t="shared" si="1"/>
        <v>652.5</v>
      </c>
    </row>
    <row r="10" spans="1:8">
      <c r="A10" s="20" t="s">
        <v>129</v>
      </c>
      <c r="B10" s="20">
        <v>88</v>
      </c>
      <c r="C10" s="20">
        <v>95</v>
      </c>
      <c r="D10" s="20">
        <v>93</v>
      </c>
      <c r="E10" s="20" t="s">
        <v>129</v>
      </c>
      <c r="F10" s="25">
        <f t="shared" si="2"/>
        <v>528</v>
      </c>
      <c r="G10" s="25">
        <f t="shared" si="0"/>
        <v>665</v>
      </c>
      <c r="H10" s="25">
        <f t="shared" si="1"/>
        <v>697.5</v>
      </c>
    </row>
    <row r="11" spans="1:8">
      <c r="A11" s="20" t="s">
        <v>130</v>
      </c>
      <c r="B11" s="20">
        <v>50</v>
      </c>
      <c r="C11" s="20">
        <v>70</v>
      </c>
      <c r="D11" s="20">
        <v>88</v>
      </c>
      <c r="E11" s="20" t="s">
        <v>130</v>
      </c>
      <c r="F11" s="25">
        <f t="shared" si="2"/>
        <v>300</v>
      </c>
      <c r="G11" s="25">
        <f t="shared" si="0"/>
        <v>490</v>
      </c>
      <c r="H11" s="25">
        <f t="shared" si="1"/>
        <v>660</v>
      </c>
    </row>
    <row r="12" spans="1:8">
      <c r="A12" s="20" t="s">
        <v>131</v>
      </c>
      <c r="B12" s="20">
        <v>83</v>
      </c>
      <c r="C12" s="20">
        <v>85</v>
      </c>
      <c r="D12" s="20">
        <v>100</v>
      </c>
      <c r="E12" s="20" t="s">
        <v>131</v>
      </c>
      <c r="F12" s="25">
        <f t="shared" si="2"/>
        <v>498</v>
      </c>
      <c r="G12" s="25">
        <f t="shared" si="0"/>
        <v>595</v>
      </c>
      <c r="H12" s="25">
        <f t="shared" si="1"/>
        <v>750</v>
      </c>
    </row>
    <row r="13" spans="1:8">
      <c r="A13" s="20" t="s">
        <v>132</v>
      </c>
      <c r="B13" s="20">
        <v>90</v>
      </c>
      <c r="C13" s="20">
        <v>95</v>
      </c>
      <c r="D13" s="20">
        <v>109</v>
      </c>
      <c r="E13" s="20" t="s">
        <v>132</v>
      </c>
      <c r="F13" s="25">
        <f t="shared" si="2"/>
        <v>540</v>
      </c>
      <c r="G13" s="25">
        <f t="shared" si="0"/>
        <v>665</v>
      </c>
      <c r="H13" s="25">
        <f t="shared" si="1"/>
        <v>817.5</v>
      </c>
    </row>
    <row r="14" spans="1:8">
      <c r="A14" s="20" t="s">
        <v>133</v>
      </c>
      <c r="B14" s="20">
        <v>95</v>
      </c>
      <c r="C14" s="20">
        <v>98</v>
      </c>
      <c r="D14" s="20">
        <v>115</v>
      </c>
      <c r="E14" s="20" t="s">
        <v>133</v>
      </c>
      <c r="F14" s="25">
        <f t="shared" si="2"/>
        <v>570</v>
      </c>
      <c r="G14" s="25">
        <f t="shared" si="0"/>
        <v>686</v>
      </c>
      <c r="H14" s="25">
        <f t="shared" si="1"/>
        <v>862.5</v>
      </c>
    </row>
    <row r="15" spans="1:8">
      <c r="A15" s="20"/>
      <c r="B15" s="20"/>
      <c r="C15" s="20"/>
      <c r="D15" s="20"/>
      <c r="E15" s="20"/>
      <c r="F15" s="26">
        <f>SUM(F3:F14)</f>
        <v>5922</v>
      </c>
      <c r="G15" s="26">
        <f>SUM(G3:G14)</f>
        <v>7693</v>
      </c>
      <c r="H15" s="26">
        <f>SUM(H3:H14)</f>
        <v>9375</v>
      </c>
    </row>
    <row r="16" spans="1:8">
      <c r="A16" s="20" t="s">
        <v>85</v>
      </c>
      <c r="B16" s="20"/>
      <c r="C16" s="20"/>
      <c r="D16" s="20"/>
      <c r="E16" s="20"/>
      <c r="F16" s="25">
        <f>F15*0.4</f>
        <v>2368.8000000000002</v>
      </c>
      <c r="G16" s="25">
        <f t="shared" ref="G16:H16" si="3">G15*0.4</f>
        <v>3077.2000000000003</v>
      </c>
      <c r="H16" s="25">
        <f t="shared" si="3"/>
        <v>3750</v>
      </c>
    </row>
    <row r="17" spans="1:8">
      <c r="A17" s="20" t="str">
        <f>'Income Statement Year 1 '!$A$13</f>
        <v>Sales Category 2 ( Online Sales)</v>
      </c>
      <c r="B17" s="20"/>
      <c r="C17" s="20"/>
      <c r="D17" s="20"/>
      <c r="E17" s="20"/>
      <c r="F17" s="25">
        <f>F15*0.2</f>
        <v>1184.4000000000001</v>
      </c>
      <c r="G17" s="25">
        <f t="shared" ref="G17:H17" si="4">G15*0.2</f>
        <v>1538.6000000000001</v>
      </c>
      <c r="H17" s="25">
        <f t="shared" si="4"/>
        <v>1875</v>
      </c>
    </row>
    <row r="18" spans="1:8">
      <c r="A18" s="20" t="str">
        <f>'Income Statement Year 1 '!$A$14</f>
        <v xml:space="preserve"> Wholesale sales</v>
      </c>
      <c r="B18" s="20"/>
      <c r="C18" s="20"/>
      <c r="D18" s="20"/>
      <c r="E18" s="20"/>
      <c r="F18" s="25">
        <f>F15*0.4</f>
        <v>2368.8000000000002</v>
      </c>
      <c r="G18" s="25">
        <f t="shared" ref="G18:H18" si="5">G15*0.4</f>
        <v>3077.2000000000003</v>
      </c>
      <c r="H18" s="25">
        <f t="shared" si="5"/>
        <v>3750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Start Up Costs </vt:lpstr>
      <vt:lpstr>Income Statement Year 1 </vt:lpstr>
      <vt:lpstr>Income Statement Year 2 </vt:lpstr>
      <vt:lpstr>Income Statement Year 3</vt:lpstr>
      <vt:lpstr>Cash Flow Year 1 </vt:lpstr>
      <vt:lpstr>Cash Flow Year 2</vt:lpstr>
      <vt:lpstr>Cash Flow Year 3</vt:lpstr>
      <vt:lpstr>Balance Sheet Year 1 </vt:lpstr>
      <vt:lpstr>Balance Sheet Year 2 </vt:lpstr>
      <vt:lpstr>Balance Sheet Year 3</vt:lpstr>
      <vt:lpstr>sales details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Pamela Rustand</cp:lastModifiedBy>
  <dcterms:created xsi:type="dcterms:W3CDTF">2022-03-19T15:50:25Z</dcterms:created>
  <dcterms:modified xsi:type="dcterms:W3CDTF">2025-03-16T06:45:09Z</dcterms:modified>
</cp:coreProperties>
</file>